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User\Desktop\MEDIÇÃO\"/>
    </mc:Choice>
  </mc:AlternateContent>
  <xr:revisionPtr revIDLastSave="0" documentId="8_{1A3EC35E-5418-43F7-88FB-CBC2F591B260}" xr6:coauthVersionLast="47" xr6:coauthVersionMax="47" xr10:uidLastSave="{00000000-0000-0000-0000-000000000000}"/>
  <bookViews>
    <workbookView xWindow="20370" yWindow="-120" windowWidth="29040" windowHeight="15840" xr2:uid="{00000000-000D-0000-FFFF-FFFF00000000}"/>
  </bookViews>
  <sheets>
    <sheet name="PLANILHA ORÇAMENTÁRIA BASE" sheetId="1" r:id="rId1"/>
    <sheet name="Planilha1" sheetId="24" state="hidden" r:id="rId2"/>
    <sheet name="MEMORIAL DE CÁLCULO" sheetId="2" state="hidden" r:id="rId3"/>
    <sheet name="Comp. 01" sheetId="3" state="hidden" r:id="rId4"/>
    <sheet name="Comp. 02" sheetId="4" state="hidden" r:id="rId5"/>
    <sheet name="Comp. 03" sheetId="5" state="hidden" r:id="rId6"/>
    <sheet name="Comp. 04" sheetId="6" state="hidden" r:id="rId7"/>
    <sheet name="Comp. 05" sheetId="7" state="hidden" r:id="rId8"/>
    <sheet name="Comp. 06" sheetId="8" state="hidden" r:id="rId9"/>
    <sheet name="Comp. 07" sheetId="9" state="hidden" r:id="rId10"/>
    <sheet name="Comp. 08" sheetId="10" state="hidden" r:id="rId11"/>
    <sheet name="Comp. 09" sheetId="11" state="hidden" r:id="rId12"/>
    <sheet name="Comp. 10" sheetId="12" state="hidden" r:id="rId13"/>
    <sheet name="Comp. 11" sheetId="13" state="hidden" r:id="rId14"/>
    <sheet name="Comp. 12" sheetId="14" state="hidden" r:id="rId15"/>
    <sheet name="Comp. 13" sheetId="15" state="hidden" r:id="rId16"/>
    <sheet name="Comp. 14" sheetId="16" state="hidden" r:id="rId17"/>
    <sheet name="Comp. 15" sheetId="18" state="hidden" r:id="rId18"/>
    <sheet name="Comp. 16" sheetId="19" state="hidden" r:id="rId19"/>
    <sheet name="Comp. 17" sheetId="20" state="hidden" r:id="rId20"/>
    <sheet name="Comp. 18" sheetId="23" state="hidden" r:id="rId21"/>
    <sheet name="Auxiliar" sheetId="21" state="hidden" r:id="rId22"/>
    <sheet name="BDI-ES" sheetId="22" state="hidden" r:id="rId23"/>
  </sheets>
  <externalReferences>
    <externalReference r:id="rId24"/>
  </externalReferences>
  <definedNames>
    <definedName name="_xlnm._FilterDatabase" localSheetId="1" hidden="1">Planilha1!$G$1:$G$114</definedName>
    <definedName name="_xlnm.Print_Area" localSheetId="2">'MEMORIAL DE CÁLCULO'!$A$1:$S$788</definedName>
    <definedName name="_xlnm.Print_Area" localSheetId="0">'PLANILHA ORÇAMENTÁRIA BASE'!$A$1:$U$760</definedName>
  </definedNames>
  <calcPr calcId="181029"/>
</workbook>
</file>

<file path=xl/calcChain.xml><?xml version="1.0" encoding="utf-8"?>
<calcChain xmlns="http://schemas.openxmlformats.org/spreadsheetml/2006/main">
  <c r="S47" i="1" l="1"/>
  <c r="T48" i="1"/>
  <c r="T300" i="1" l="1"/>
  <c r="U300" i="1" s="1"/>
  <c r="S267" i="1"/>
  <c r="T267" i="1"/>
  <c r="U267" i="1" s="1"/>
  <c r="H267" i="1"/>
  <c r="T11" i="1"/>
  <c r="U652" i="1" l="1"/>
  <c r="U548" i="1"/>
  <c r="U480" i="1"/>
  <c r="U404" i="1"/>
  <c r="U338" i="1"/>
  <c r="U227" i="1"/>
  <c r="U194" i="1"/>
  <c r="U158" i="1"/>
  <c r="U159" i="1" s="1"/>
  <c r="U124" i="1"/>
  <c r="U85" i="1"/>
  <c r="U37" i="1"/>
  <c r="U38" i="1" s="1"/>
  <c r="U11" i="1"/>
  <c r="T739" i="1"/>
  <c r="U739" i="1" s="1"/>
  <c r="T738" i="1"/>
  <c r="U738" i="1" s="1"/>
  <c r="T737" i="1"/>
  <c r="U737" i="1" s="1"/>
  <c r="T736" i="1"/>
  <c r="U736" i="1" s="1"/>
  <c r="T735" i="1"/>
  <c r="U735" i="1" s="1"/>
  <c r="T734" i="1"/>
  <c r="U734" i="1" s="1"/>
  <c r="T733" i="1"/>
  <c r="U733" i="1" s="1"/>
  <c r="T732" i="1"/>
  <c r="U732" i="1" s="1"/>
  <c r="T731" i="1"/>
  <c r="U731" i="1" s="1"/>
  <c r="T730" i="1"/>
  <c r="U730" i="1" s="1"/>
  <c r="T729" i="1"/>
  <c r="U729" i="1" s="1"/>
  <c r="T728" i="1"/>
  <c r="U728" i="1" s="1"/>
  <c r="T727" i="1"/>
  <c r="U727" i="1" s="1"/>
  <c r="T726" i="1"/>
  <c r="U726" i="1" s="1"/>
  <c r="T725" i="1"/>
  <c r="U725" i="1" s="1"/>
  <c r="T724" i="1"/>
  <c r="U724" i="1" s="1"/>
  <c r="T723" i="1"/>
  <c r="U723" i="1" s="1"/>
  <c r="T722" i="1"/>
  <c r="U722" i="1" s="1"/>
  <c r="T721" i="1"/>
  <c r="U721" i="1" s="1"/>
  <c r="T720" i="1"/>
  <c r="U720" i="1" s="1"/>
  <c r="T719" i="1"/>
  <c r="U719" i="1" s="1"/>
  <c r="T718" i="1"/>
  <c r="U718" i="1" s="1"/>
  <c r="T717" i="1"/>
  <c r="U717" i="1" s="1"/>
  <c r="T716" i="1"/>
  <c r="U716" i="1" s="1"/>
  <c r="T713" i="1"/>
  <c r="U713" i="1" s="1"/>
  <c r="U714" i="1" s="1"/>
  <c r="T710" i="1"/>
  <c r="U710" i="1" s="1"/>
  <c r="U711" i="1" s="1"/>
  <c r="T707" i="1"/>
  <c r="U707" i="1" s="1"/>
  <c r="U708" i="1" s="1"/>
  <c r="T704" i="1"/>
  <c r="U704" i="1" s="1"/>
  <c r="U705" i="1" s="1"/>
  <c r="T700" i="1"/>
  <c r="U700" i="1" s="1"/>
  <c r="U701" i="1" s="1"/>
  <c r="T697" i="1"/>
  <c r="U697" i="1" s="1"/>
  <c r="U698" i="1" s="1"/>
  <c r="T693" i="1"/>
  <c r="U693" i="1" s="1"/>
  <c r="U694" i="1" s="1"/>
  <c r="T690" i="1"/>
  <c r="U690" i="1" s="1"/>
  <c r="T689" i="1"/>
  <c r="U689" i="1" s="1"/>
  <c r="T688" i="1"/>
  <c r="U688" i="1" s="1"/>
  <c r="T687" i="1"/>
  <c r="U687" i="1" s="1"/>
  <c r="T683" i="1"/>
  <c r="U683" i="1" s="1"/>
  <c r="T682" i="1"/>
  <c r="U682" i="1" s="1"/>
  <c r="T681" i="1"/>
  <c r="U681" i="1" s="1"/>
  <c r="T680" i="1"/>
  <c r="U680" i="1" s="1"/>
  <c r="T679" i="1"/>
  <c r="U679" i="1" s="1"/>
  <c r="T678" i="1"/>
  <c r="U678" i="1" s="1"/>
  <c r="T675" i="1"/>
  <c r="U675" i="1" s="1"/>
  <c r="T674" i="1"/>
  <c r="U674" i="1" s="1"/>
  <c r="T673" i="1"/>
  <c r="U673" i="1" s="1"/>
  <c r="T670" i="1"/>
  <c r="U670" i="1" s="1"/>
  <c r="T669" i="1"/>
  <c r="U669" i="1" s="1"/>
  <c r="T668" i="1"/>
  <c r="U668" i="1" s="1"/>
  <c r="T667" i="1"/>
  <c r="U667" i="1" s="1"/>
  <c r="T664" i="1"/>
  <c r="U664" i="1" s="1"/>
  <c r="T663" i="1"/>
  <c r="U663" i="1" s="1"/>
  <c r="T662" i="1"/>
  <c r="U662" i="1" s="1"/>
  <c r="T661" i="1"/>
  <c r="U661" i="1" s="1"/>
  <c r="T660" i="1"/>
  <c r="U660" i="1" s="1"/>
  <c r="T659" i="1"/>
  <c r="U659" i="1" s="1"/>
  <c r="T656" i="1"/>
  <c r="U656" i="1" s="1"/>
  <c r="T655" i="1"/>
  <c r="U655" i="1" s="1"/>
  <c r="T654" i="1"/>
  <c r="U654" i="1" s="1"/>
  <c r="T653" i="1"/>
  <c r="U653" i="1" s="1"/>
  <c r="T652" i="1"/>
  <c r="T648" i="1"/>
  <c r="U648" i="1" s="1"/>
  <c r="T647" i="1"/>
  <c r="U647" i="1" s="1"/>
  <c r="T646" i="1"/>
  <c r="U646" i="1" s="1"/>
  <c r="T645" i="1"/>
  <c r="U645" i="1" s="1"/>
  <c r="T644" i="1"/>
  <c r="U644" i="1" s="1"/>
  <c r="T640" i="1"/>
  <c r="U640" i="1" s="1"/>
  <c r="U641" i="1" s="1"/>
  <c r="T636" i="1"/>
  <c r="U636" i="1" s="1"/>
  <c r="T635" i="1"/>
  <c r="U635" i="1" s="1"/>
  <c r="T632" i="1"/>
  <c r="U632" i="1" s="1"/>
  <c r="T631" i="1"/>
  <c r="U631" i="1" s="1"/>
  <c r="T630" i="1"/>
  <c r="U630" i="1" s="1"/>
  <c r="T627" i="1"/>
  <c r="U627" i="1" s="1"/>
  <c r="T626" i="1"/>
  <c r="U626" i="1" s="1"/>
  <c r="T622" i="1"/>
  <c r="U622" i="1" s="1"/>
  <c r="T621" i="1"/>
  <c r="U621" i="1" s="1"/>
  <c r="T620" i="1"/>
  <c r="U620" i="1" s="1"/>
  <c r="T619" i="1"/>
  <c r="U619" i="1" s="1"/>
  <c r="T618" i="1"/>
  <c r="U618" i="1" s="1"/>
  <c r="T617" i="1"/>
  <c r="U617" i="1" s="1"/>
  <c r="T616" i="1"/>
  <c r="U616" i="1" s="1"/>
  <c r="T615" i="1"/>
  <c r="U615" i="1" s="1"/>
  <c r="T614" i="1"/>
  <c r="U614" i="1" s="1"/>
  <c r="T613" i="1"/>
  <c r="U613" i="1" s="1"/>
  <c r="T612" i="1"/>
  <c r="U612" i="1" s="1"/>
  <c r="T611" i="1"/>
  <c r="U611" i="1" s="1"/>
  <c r="T608" i="1"/>
  <c r="U608" i="1" s="1"/>
  <c r="T607" i="1"/>
  <c r="U607" i="1" s="1"/>
  <c r="T604" i="1"/>
  <c r="U604" i="1" s="1"/>
  <c r="T603" i="1"/>
  <c r="U603" i="1" s="1"/>
  <c r="T602" i="1"/>
  <c r="U602" i="1" s="1"/>
  <c r="T601" i="1"/>
  <c r="U601" i="1" s="1"/>
  <c r="T600" i="1"/>
  <c r="U600" i="1" s="1"/>
  <c r="T599" i="1"/>
  <c r="U599" i="1" s="1"/>
  <c r="T596" i="1"/>
  <c r="U596" i="1" s="1"/>
  <c r="U597" i="1" s="1"/>
  <c r="T593" i="1"/>
  <c r="U593" i="1" s="1"/>
  <c r="U594" i="1" s="1"/>
  <c r="T590" i="1"/>
  <c r="U590" i="1" s="1"/>
  <c r="T589" i="1"/>
  <c r="U589" i="1" s="1"/>
  <c r="T588" i="1"/>
  <c r="U588" i="1" s="1"/>
  <c r="T587" i="1"/>
  <c r="U587" i="1" s="1"/>
  <c r="T586" i="1"/>
  <c r="U586" i="1" s="1"/>
  <c r="T585" i="1"/>
  <c r="U585" i="1" s="1"/>
  <c r="T584" i="1"/>
  <c r="U584" i="1" s="1"/>
  <c r="T583" i="1"/>
  <c r="U583" i="1" s="1"/>
  <c r="T582" i="1"/>
  <c r="U582" i="1" s="1"/>
  <c r="T581" i="1"/>
  <c r="U581" i="1" s="1"/>
  <c r="T580" i="1"/>
  <c r="U580" i="1" s="1"/>
  <c r="T576" i="1"/>
  <c r="U576" i="1" s="1"/>
  <c r="T575" i="1"/>
  <c r="U575" i="1" s="1"/>
  <c r="T574" i="1"/>
  <c r="U574" i="1" s="1"/>
  <c r="T573" i="1"/>
  <c r="U573" i="1" s="1"/>
  <c r="T570" i="1"/>
  <c r="U570" i="1" s="1"/>
  <c r="T569" i="1"/>
  <c r="U569" i="1" s="1"/>
  <c r="T568" i="1"/>
  <c r="U568" i="1" s="1"/>
  <c r="T565" i="1"/>
  <c r="U565" i="1" s="1"/>
  <c r="T564" i="1"/>
  <c r="U564" i="1" s="1"/>
  <c r="T563" i="1"/>
  <c r="U563" i="1" s="1"/>
  <c r="T560" i="1"/>
  <c r="U560" i="1" s="1"/>
  <c r="T559" i="1"/>
  <c r="U559" i="1" s="1"/>
  <c r="T556" i="1"/>
  <c r="U556" i="1" s="1"/>
  <c r="T555" i="1"/>
  <c r="U555" i="1" s="1"/>
  <c r="T554" i="1"/>
  <c r="U554" i="1" s="1"/>
  <c r="T553" i="1"/>
  <c r="U553" i="1" s="1"/>
  <c r="T549" i="1"/>
  <c r="U549" i="1" s="1"/>
  <c r="T548" i="1"/>
  <c r="T547" i="1"/>
  <c r="U547" i="1" s="1"/>
  <c r="T546" i="1"/>
  <c r="U546" i="1" s="1"/>
  <c r="T545" i="1"/>
  <c r="U545" i="1" s="1"/>
  <c r="T544" i="1"/>
  <c r="U544" i="1" s="1"/>
  <c r="T543" i="1"/>
  <c r="U543" i="1" s="1"/>
  <c r="T542" i="1"/>
  <c r="U542" i="1" s="1"/>
  <c r="T541" i="1"/>
  <c r="U541" i="1" s="1"/>
  <c r="T538" i="1"/>
  <c r="U538" i="1" s="1"/>
  <c r="T537" i="1"/>
  <c r="U537" i="1" s="1"/>
  <c r="T536" i="1"/>
  <c r="U536" i="1" s="1"/>
  <c r="T535" i="1"/>
  <c r="U535" i="1" s="1"/>
  <c r="T534" i="1"/>
  <c r="U534" i="1" s="1"/>
  <c r="T533" i="1"/>
  <c r="U533" i="1" s="1"/>
  <c r="T532" i="1"/>
  <c r="U532" i="1" s="1"/>
  <c r="T531" i="1"/>
  <c r="U531" i="1" s="1"/>
  <c r="T530" i="1"/>
  <c r="U530" i="1" s="1"/>
  <c r="T527" i="1"/>
  <c r="U527" i="1" s="1"/>
  <c r="T526" i="1"/>
  <c r="U526" i="1" s="1"/>
  <c r="T525" i="1"/>
  <c r="U525" i="1" s="1"/>
  <c r="T524" i="1"/>
  <c r="U524" i="1" s="1"/>
  <c r="T523" i="1"/>
  <c r="U523" i="1" s="1"/>
  <c r="T522" i="1"/>
  <c r="U522" i="1" s="1"/>
  <c r="T521" i="1"/>
  <c r="U521" i="1" s="1"/>
  <c r="T520" i="1"/>
  <c r="U520" i="1" s="1"/>
  <c r="T519" i="1"/>
  <c r="U519" i="1" s="1"/>
  <c r="T518" i="1"/>
  <c r="U518" i="1" s="1"/>
  <c r="T517" i="1"/>
  <c r="U517" i="1" s="1"/>
  <c r="T516" i="1"/>
  <c r="U516" i="1" s="1"/>
  <c r="T515" i="1"/>
  <c r="U515" i="1" s="1"/>
  <c r="T514" i="1"/>
  <c r="U514" i="1" s="1"/>
  <c r="T513" i="1"/>
  <c r="U513" i="1" s="1"/>
  <c r="T512" i="1"/>
  <c r="U512" i="1" s="1"/>
  <c r="T511" i="1"/>
  <c r="U511" i="1" s="1"/>
  <c r="T510" i="1"/>
  <c r="U510" i="1" s="1"/>
  <c r="T509" i="1"/>
  <c r="U509" i="1" s="1"/>
  <c r="T508" i="1"/>
  <c r="U508" i="1" s="1"/>
  <c r="T507" i="1"/>
  <c r="U507" i="1" s="1"/>
  <c r="T506" i="1"/>
  <c r="U506" i="1" s="1"/>
  <c r="T505" i="1"/>
  <c r="U505" i="1" s="1"/>
  <c r="T504" i="1"/>
  <c r="U504" i="1" s="1"/>
  <c r="T503" i="1"/>
  <c r="U503" i="1" s="1"/>
  <c r="T502" i="1"/>
  <c r="U502" i="1" s="1"/>
  <c r="T501" i="1"/>
  <c r="U501" i="1" s="1"/>
  <c r="T500" i="1"/>
  <c r="U500" i="1" s="1"/>
  <c r="T499" i="1"/>
  <c r="U499" i="1" s="1"/>
  <c r="T498" i="1"/>
  <c r="U498" i="1" s="1"/>
  <c r="T497" i="1"/>
  <c r="U497" i="1" s="1"/>
  <c r="T496" i="1"/>
  <c r="U496" i="1" s="1"/>
  <c r="T495" i="1"/>
  <c r="U495" i="1" s="1"/>
  <c r="T494" i="1"/>
  <c r="U494" i="1" s="1"/>
  <c r="T493" i="1"/>
  <c r="U493" i="1" s="1"/>
  <c r="T492" i="1"/>
  <c r="U492" i="1" s="1"/>
  <c r="T491" i="1"/>
  <c r="U491" i="1" s="1"/>
  <c r="T490" i="1"/>
  <c r="U490" i="1" s="1"/>
  <c r="T489" i="1"/>
  <c r="U489" i="1" s="1"/>
  <c r="T488" i="1"/>
  <c r="U488" i="1" s="1"/>
  <c r="T487" i="1"/>
  <c r="U487" i="1" s="1"/>
  <c r="T486" i="1"/>
  <c r="U486" i="1" s="1"/>
  <c r="T485" i="1"/>
  <c r="U485" i="1" s="1"/>
  <c r="T484" i="1"/>
  <c r="U484" i="1" s="1"/>
  <c r="T483" i="1"/>
  <c r="U483" i="1" s="1"/>
  <c r="T482" i="1"/>
  <c r="U482" i="1" s="1"/>
  <c r="T481" i="1"/>
  <c r="U481" i="1" s="1"/>
  <c r="T480" i="1"/>
  <c r="T479" i="1"/>
  <c r="U479" i="1" s="1"/>
  <c r="T478" i="1"/>
  <c r="U478" i="1" s="1"/>
  <c r="T477" i="1"/>
  <c r="U477" i="1" s="1"/>
  <c r="T474" i="1"/>
  <c r="U474" i="1" s="1"/>
  <c r="T473" i="1"/>
  <c r="U473" i="1" s="1"/>
  <c r="T472" i="1"/>
  <c r="U472" i="1" s="1"/>
  <c r="T471" i="1"/>
  <c r="U471" i="1" s="1"/>
  <c r="T470" i="1"/>
  <c r="U470" i="1" s="1"/>
  <c r="T469" i="1"/>
  <c r="U469" i="1" s="1"/>
  <c r="T468" i="1"/>
  <c r="U468" i="1" s="1"/>
  <c r="T467" i="1"/>
  <c r="U467" i="1" s="1"/>
  <c r="T466" i="1"/>
  <c r="U466" i="1" s="1"/>
  <c r="T465" i="1"/>
  <c r="U465" i="1" s="1"/>
  <c r="T464" i="1"/>
  <c r="U464" i="1" s="1"/>
  <c r="T463" i="1"/>
  <c r="U463" i="1" s="1"/>
  <c r="T460" i="1"/>
  <c r="U460" i="1" s="1"/>
  <c r="T459" i="1"/>
  <c r="U459" i="1" s="1"/>
  <c r="T458" i="1"/>
  <c r="U458" i="1" s="1"/>
  <c r="T457" i="1"/>
  <c r="U457" i="1" s="1"/>
  <c r="T456" i="1"/>
  <c r="U456" i="1" s="1"/>
  <c r="T455" i="1"/>
  <c r="U455" i="1" s="1"/>
  <c r="T454" i="1"/>
  <c r="U454" i="1" s="1"/>
  <c r="T453" i="1"/>
  <c r="U453" i="1" s="1"/>
  <c r="T452" i="1"/>
  <c r="U452" i="1" s="1"/>
  <c r="T451" i="1"/>
  <c r="U451" i="1" s="1"/>
  <c r="T450" i="1"/>
  <c r="U450" i="1" s="1"/>
  <c r="T449" i="1"/>
  <c r="U449" i="1" s="1"/>
  <c r="T448" i="1"/>
  <c r="U448" i="1" s="1"/>
  <c r="T444" i="1"/>
  <c r="U444" i="1" s="1"/>
  <c r="T443" i="1"/>
  <c r="U443" i="1" s="1"/>
  <c r="T440" i="1"/>
  <c r="U440" i="1" s="1"/>
  <c r="T439" i="1"/>
  <c r="U439" i="1" s="1"/>
  <c r="T438" i="1"/>
  <c r="U438" i="1" s="1"/>
  <c r="T437" i="1"/>
  <c r="U437" i="1" s="1"/>
  <c r="T436" i="1"/>
  <c r="U436" i="1" s="1"/>
  <c r="T435" i="1"/>
  <c r="U435" i="1" s="1"/>
  <c r="T434" i="1"/>
  <c r="U434" i="1" s="1"/>
  <c r="T433" i="1"/>
  <c r="U433" i="1" s="1"/>
  <c r="T431" i="1"/>
  <c r="U431" i="1" s="1"/>
  <c r="T428" i="1"/>
  <c r="U428" i="1" s="1"/>
  <c r="T427" i="1"/>
  <c r="U427" i="1" s="1"/>
  <c r="T426" i="1"/>
  <c r="U426" i="1" s="1"/>
  <c r="T425" i="1"/>
  <c r="U425" i="1" s="1"/>
  <c r="T424" i="1"/>
  <c r="U424" i="1" s="1"/>
  <c r="T423" i="1"/>
  <c r="U423" i="1" s="1"/>
  <c r="T422" i="1"/>
  <c r="U422" i="1" s="1"/>
  <c r="T421" i="1"/>
  <c r="U421" i="1" s="1"/>
  <c r="T420" i="1"/>
  <c r="U420" i="1" s="1"/>
  <c r="T419" i="1"/>
  <c r="U419" i="1" s="1"/>
  <c r="T418" i="1"/>
  <c r="U418" i="1" s="1"/>
  <c r="T417" i="1"/>
  <c r="U417" i="1" s="1"/>
  <c r="T416" i="1"/>
  <c r="U416" i="1" s="1"/>
  <c r="T415" i="1"/>
  <c r="U415" i="1" s="1"/>
  <c r="T414" i="1"/>
  <c r="U414" i="1" s="1"/>
  <c r="T413" i="1"/>
  <c r="U413" i="1" s="1"/>
  <c r="T412" i="1"/>
  <c r="U412" i="1" s="1"/>
  <c r="T411" i="1"/>
  <c r="U411" i="1" s="1"/>
  <c r="T410" i="1"/>
  <c r="U410" i="1" s="1"/>
  <c r="T409" i="1"/>
  <c r="U409" i="1" s="1"/>
  <c r="T408" i="1"/>
  <c r="U408" i="1" s="1"/>
  <c r="T407" i="1"/>
  <c r="U407" i="1" s="1"/>
  <c r="T406" i="1"/>
  <c r="U406" i="1" s="1"/>
  <c r="T405" i="1"/>
  <c r="U405" i="1" s="1"/>
  <c r="T404" i="1"/>
  <c r="T403" i="1"/>
  <c r="U403" i="1" s="1"/>
  <c r="T402" i="1"/>
  <c r="U402" i="1" s="1"/>
  <c r="T401" i="1"/>
  <c r="U401" i="1" s="1"/>
  <c r="T400" i="1"/>
  <c r="U400" i="1" s="1"/>
  <c r="T399" i="1"/>
  <c r="U399" i="1" s="1"/>
  <c r="T398" i="1"/>
  <c r="U398" i="1" s="1"/>
  <c r="T397" i="1"/>
  <c r="U397" i="1" s="1"/>
  <c r="T396" i="1"/>
  <c r="U396" i="1" s="1"/>
  <c r="T395" i="1"/>
  <c r="U395" i="1" s="1"/>
  <c r="T394" i="1"/>
  <c r="U394" i="1" s="1"/>
  <c r="T393" i="1"/>
  <c r="U393" i="1" s="1"/>
  <c r="T392" i="1"/>
  <c r="U392" i="1" s="1"/>
  <c r="T391" i="1"/>
  <c r="U391" i="1" s="1"/>
  <c r="T390" i="1"/>
  <c r="U390" i="1" s="1"/>
  <c r="T389" i="1"/>
  <c r="U389" i="1" s="1"/>
  <c r="T388" i="1"/>
  <c r="U388" i="1" s="1"/>
  <c r="T387" i="1"/>
  <c r="U387" i="1" s="1"/>
  <c r="T386" i="1"/>
  <c r="U386" i="1" s="1"/>
  <c r="T385" i="1"/>
  <c r="U385" i="1" s="1"/>
  <c r="T384" i="1"/>
  <c r="U384" i="1" s="1"/>
  <c r="T383" i="1"/>
  <c r="U383" i="1" s="1"/>
  <c r="T382" i="1"/>
  <c r="U382" i="1" s="1"/>
  <c r="T381" i="1"/>
  <c r="U381" i="1" s="1"/>
  <c r="T380" i="1"/>
  <c r="U380" i="1" s="1"/>
  <c r="T379" i="1"/>
  <c r="U379" i="1" s="1"/>
  <c r="T378" i="1"/>
  <c r="U378" i="1" s="1"/>
  <c r="T377" i="1"/>
  <c r="U377" i="1" s="1"/>
  <c r="T376" i="1"/>
  <c r="U376" i="1" s="1"/>
  <c r="T375" i="1"/>
  <c r="U375" i="1" s="1"/>
  <c r="T374" i="1"/>
  <c r="U374" i="1" s="1"/>
  <c r="T373" i="1"/>
  <c r="U373" i="1" s="1"/>
  <c r="T372" i="1"/>
  <c r="U372" i="1" s="1"/>
  <c r="T371" i="1"/>
  <c r="U371" i="1" s="1"/>
  <c r="T370" i="1"/>
  <c r="U370" i="1" s="1"/>
  <c r="T369" i="1"/>
  <c r="U369" i="1" s="1"/>
  <c r="T368" i="1"/>
  <c r="U368" i="1" s="1"/>
  <c r="T367" i="1"/>
  <c r="U367" i="1" s="1"/>
  <c r="T366" i="1"/>
  <c r="U366" i="1" s="1"/>
  <c r="T365" i="1"/>
  <c r="U365" i="1" s="1"/>
  <c r="T364" i="1"/>
  <c r="U364" i="1" s="1"/>
  <c r="T363" i="1"/>
  <c r="U363" i="1" s="1"/>
  <c r="T362" i="1"/>
  <c r="U362" i="1" s="1"/>
  <c r="T361" i="1"/>
  <c r="U361" i="1" s="1"/>
  <c r="T360" i="1"/>
  <c r="U360" i="1" s="1"/>
  <c r="T359" i="1"/>
  <c r="U359" i="1" s="1"/>
  <c r="T358" i="1"/>
  <c r="U358" i="1" s="1"/>
  <c r="T357" i="1"/>
  <c r="U357" i="1" s="1"/>
  <c r="T356" i="1"/>
  <c r="U356" i="1" s="1"/>
  <c r="T355" i="1"/>
  <c r="U355" i="1" s="1"/>
  <c r="T354" i="1"/>
  <c r="U354" i="1" s="1"/>
  <c r="T353" i="1"/>
  <c r="U353" i="1" s="1"/>
  <c r="T352" i="1"/>
  <c r="U352" i="1" s="1"/>
  <c r="T351" i="1"/>
  <c r="U351" i="1" s="1"/>
  <c r="T350" i="1"/>
  <c r="U350" i="1" s="1"/>
  <c r="T349" i="1"/>
  <c r="U349" i="1" s="1"/>
  <c r="T348" i="1"/>
  <c r="U348" i="1" s="1"/>
  <c r="T347" i="1"/>
  <c r="U347" i="1" s="1"/>
  <c r="T346" i="1"/>
  <c r="U346" i="1" s="1"/>
  <c r="T345" i="1"/>
  <c r="U345" i="1" s="1"/>
  <c r="T344" i="1"/>
  <c r="U344" i="1" s="1"/>
  <c r="T343" i="1"/>
  <c r="U343" i="1" s="1"/>
  <c r="T340" i="1"/>
  <c r="U340" i="1" s="1"/>
  <c r="T339" i="1"/>
  <c r="U339" i="1" s="1"/>
  <c r="T338" i="1"/>
  <c r="T337" i="1"/>
  <c r="U337" i="1" s="1"/>
  <c r="T336" i="1"/>
  <c r="U336" i="1" s="1"/>
  <c r="T335" i="1"/>
  <c r="U335" i="1" s="1"/>
  <c r="T334" i="1"/>
  <c r="U334" i="1" s="1"/>
  <c r="T333" i="1"/>
  <c r="U333" i="1" s="1"/>
  <c r="T332" i="1"/>
  <c r="U332" i="1" s="1"/>
  <c r="T331" i="1"/>
  <c r="U331" i="1" s="1"/>
  <c r="T330" i="1"/>
  <c r="U330" i="1" s="1"/>
  <c r="T329" i="1"/>
  <c r="U329" i="1" s="1"/>
  <c r="T328" i="1"/>
  <c r="U328" i="1" s="1"/>
  <c r="T327" i="1"/>
  <c r="U327" i="1" s="1"/>
  <c r="T326" i="1"/>
  <c r="U326" i="1" s="1"/>
  <c r="T325" i="1"/>
  <c r="U325" i="1" s="1"/>
  <c r="T324" i="1"/>
  <c r="U324" i="1" s="1"/>
  <c r="T323" i="1"/>
  <c r="U323" i="1" s="1"/>
  <c r="T322" i="1"/>
  <c r="U322" i="1" s="1"/>
  <c r="T321" i="1"/>
  <c r="U321" i="1" s="1"/>
  <c r="T320" i="1"/>
  <c r="U320" i="1" s="1"/>
  <c r="T319" i="1"/>
  <c r="U319" i="1" s="1"/>
  <c r="T318" i="1"/>
  <c r="U318" i="1" s="1"/>
  <c r="T317" i="1"/>
  <c r="U317" i="1" s="1"/>
  <c r="T316" i="1"/>
  <c r="U316" i="1" s="1"/>
  <c r="T315" i="1"/>
  <c r="U315" i="1" s="1"/>
  <c r="T314" i="1"/>
  <c r="U314" i="1" s="1"/>
  <c r="T313" i="1"/>
  <c r="U313" i="1" s="1"/>
  <c r="T312" i="1"/>
  <c r="U312" i="1" s="1"/>
  <c r="T311" i="1"/>
  <c r="U311" i="1" s="1"/>
  <c r="T307" i="1"/>
  <c r="U307" i="1" s="1"/>
  <c r="T306" i="1"/>
  <c r="U306" i="1" s="1"/>
  <c r="T305" i="1"/>
  <c r="U305" i="1" s="1"/>
  <c r="T302" i="1"/>
  <c r="U302" i="1" s="1"/>
  <c r="T301" i="1"/>
  <c r="U301" i="1" s="1"/>
  <c r="U303" i="1" s="1"/>
  <c r="T297" i="1"/>
  <c r="U297" i="1" s="1"/>
  <c r="T296" i="1"/>
  <c r="U296" i="1" s="1"/>
  <c r="T295" i="1"/>
  <c r="U295" i="1" s="1"/>
  <c r="T294" i="1"/>
  <c r="U294" i="1" s="1"/>
  <c r="T293" i="1"/>
  <c r="U293" i="1" s="1"/>
  <c r="T292" i="1"/>
  <c r="U292" i="1" s="1"/>
  <c r="T291" i="1"/>
  <c r="U291" i="1" s="1"/>
  <c r="T290" i="1"/>
  <c r="U290" i="1" s="1"/>
  <c r="T289" i="1"/>
  <c r="U289" i="1" s="1"/>
  <c r="T288" i="1"/>
  <c r="U288" i="1" s="1"/>
  <c r="T287" i="1"/>
  <c r="U287" i="1" s="1"/>
  <c r="T286" i="1"/>
  <c r="U286" i="1" s="1"/>
  <c r="T285" i="1"/>
  <c r="U285" i="1" s="1"/>
  <c r="T284" i="1"/>
  <c r="U284" i="1" s="1"/>
  <c r="T283" i="1"/>
  <c r="U283" i="1" s="1"/>
  <c r="T280" i="1"/>
  <c r="U280" i="1" s="1"/>
  <c r="T279" i="1"/>
  <c r="U279" i="1" s="1"/>
  <c r="T276" i="1"/>
  <c r="U276" i="1" s="1"/>
  <c r="T275" i="1"/>
  <c r="U275" i="1" s="1"/>
  <c r="T274" i="1"/>
  <c r="U274" i="1" s="1"/>
  <c r="T273" i="1"/>
  <c r="U273" i="1" s="1"/>
  <c r="T270" i="1"/>
  <c r="U270" i="1" s="1"/>
  <c r="T269" i="1"/>
  <c r="U269" i="1" s="1"/>
  <c r="T268" i="1"/>
  <c r="U268" i="1" s="1"/>
  <c r="T264" i="1"/>
  <c r="U264" i="1" s="1"/>
  <c r="T263" i="1"/>
  <c r="U263" i="1" s="1"/>
  <c r="T262" i="1"/>
  <c r="U262" i="1" s="1"/>
  <c r="T261" i="1"/>
  <c r="U261" i="1" s="1"/>
  <c r="T260" i="1"/>
  <c r="U260" i="1" s="1"/>
  <c r="T259" i="1"/>
  <c r="U259" i="1" s="1"/>
  <c r="T256" i="1"/>
  <c r="U256" i="1" s="1"/>
  <c r="T255" i="1"/>
  <c r="U255" i="1" s="1"/>
  <c r="T254" i="1"/>
  <c r="U254" i="1" s="1"/>
  <c r="T253" i="1"/>
  <c r="U253" i="1" s="1"/>
  <c r="T250" i="1"/>
  <c r="U250" i="1" s="1"/>
  <c r="T249" i="1"/>
  <c r="U249" i="1" s="1"/>
  <c r="T248" i="1"/>
  <c r="U248" i="1" s="1"/>
  <c r="T247" i="1"/>
  <c r="U247" i="1" s="1"/>
  <c r="T246" i="1"/>
  <c r="U246" i="1" s="1"/>
  <c r="T245" i="1"/>
  <c r="U245" i="1" s="1"/>
  <c r="T244" i="1"/>
  <c r="U244" i="1" s="1"/>
  <c r="T243" i="1"/>
  <c r="U243" i="1" s="1"/>
  <c r="T242" i="1"/>
  <c r="U242" i="1" s="1"/>
  <c r="T239" i="1"/>
  <c r="U239" i="1" s="1"/>
  <c r="T238" i="1"/>
  <c r="U238" i="1" s="1"/>
  <c r="T233" i="1"/>
  <c r="U233" i="1" s="1"/>
  <c r="T232" i="1"/>
  <c r="U232" i="1" s="1"/>
  <c r="T231" i="1"/>
  <c r="U231" i="1" s="1"/>
  <c r="T230" i="1"/>
  <c r="U230" i="1" s="1"/>
  <c r="T229" i="1"/>
  <c r="U229" i="1" s="1"/>
  <c r="T228" i="1"/>
  <c r="U228" i="1" s="1"/>
  <c r="T225" i="1"/>
  <c r="U225" i="1" s="1"/>
  <c r="T224" i="1"/>
  <c r="U224" i="1" s="1"/>
  <c r="T222" i="1"/>
  <c r="U222" i="1" s="1"/>
  <c r="T221" i="1"/>
  <c r="U221" i="1" s="1"/>
  <c r="T218" i="1"/>
  <c r="U218" i="1" s="1"/>
  <c r="T217" i="1"/>
  <c r="U217" i="1" s="1"/>
  <c r="T213" i="1"/>
  <c r="U213" i="1" s="1"/>
  <c r="U214" i="1" s="1"/>
  <c r="T210" i="1"/>
  <c r="U210" i="1" s="1"/>
  <c r="T209" i="1"/>
  <c r="U209" i="1" s="1"/>
  <c r="U211" i="1" s="1"/>
  <c r="T206" i="1"/>
  <c r="U206" i="1" s="1"/>
  <c r="T205" i="1"/>
  <c r="U205" i="1" s="1"/>
  <c r="T204" i="1"/>
  <c r="U204" i="1" s="1"/>
  <c r="T201" i="1"/>
  <c r="U201" i="1" s="1"/>
  <c r="U202" i="1" s="1"/>
  <c r="T198" i="1"/>
  <c r="T197" i="1"/>
  <c r="U197" i="1" s="1"/>
  <c r="U198" i="1" s="1"/>
  <c r="T194" i="1"/>
  <c r="T193" i="1"/>
  <c r="U193" i="1" s="1"/>
  <c r="T192" i="1"/>
  <c r="U192" i="1" s="1"/>
  <c r="T189" i="1"/>
  <c r="U189" i="1" s="1"/>
  <c r="U190" i="1" s="1"/>
  <c r="T186" i="1"/>
  <c r="T185" i="1"/>
  <c r="U185" i="1" s="1"/>
  <c r="T184" i="1"/>
  <c r="U184" i="1" s="1"/>
  <c r="T183" i="1"/>
  <c r="U183" i="1" s="1"/>
  <c r="T180" i="1"/>
  <c r="U180" i="1" s="1"/>
  <c r="U181" i="1" s="1"/>
  <c r="T176" i="1"/>
  <c r="U176" i="1" s="1"/>
  <c r="U177" i="1" s="1"/>
  <c r="T172" i="1"/>
  <c r="U172" i="1" s="1"/>
  <c r="T171" i="1"/>
  <c r="U171" i="1" s="1"/>
  <c r="T168" i="1"/>
  <c r="U168" i="1" s="1"/>
  <c r="T167" i="1"/>
  <c r="U167" i="1" s="1"/>
  <c r="T166" i="1"/>
  <c r="U166" i="1" s="1"/>
  <c r="T162" i="1"/>
  <c r="U162" i="1" s="1"/>
  <c r="T158" i="1"/>
  <c r="T155" i="1"/>
  <c r="U155" i="1" s="1"/>
  <c r="U156" i="1" s="1"/>
  <c r="T150" i="1"/>
  <c r="U150" i="1" s="1"/>
  <c r="T149" i="1"/>
  <c r="U149" i="1" s="1"/>
  <c r="T148" i="1"/>
  <c r="U148" i="1" s="1"/>
  <c r="T147" i="1"/>
  <c r="U147" i="1" s="1"/>
  <c r="T146" i="1"/>
  <c r="U146" i="1" s="1"/>
  <c r="T145" i="1"/>
  <c r="U145" i="1" s="1"/>
  <c r="T144" i="1"/>
  <c r="U144" i="1" s="1"/>
  <c r="T141" i="1"/>
  <c r="U141" i="1" s="1"/>
  <c r="T140" i="1"/>
  <c r="U140" i="1" s="1"/>
  <c r="T139" i="1"/>
  <c r="U139" i="1" s="1"/>
  <c r="T135" i="1"/>
  <c r="U135" i="1" s="1"/>
  <c r="T134" i="1"/>
  <c r="U134" i="1" s="1"/>
  <c r="T126" i="1"/>
  <c r="U126" i="1" s="1"/>
  <c r="T125" i="1"/>
  <c r="U125" i="1" s="1"/>
  <c r="T124" i="1"/>
  <c r="T123" i="1"/>
  <c r="U123" i="1" s="1"/>
  <c r="T120" i="1"/>
  <c r="U120" i="1" s="1"/>
  <c r="U121" i="1" s="1"/>
  <c r="T117" i="1"/>
  <c r="U117" i="1" s="1"/>
  <c r="T116" i="1"/>
  <c r="U116" i="1" s="1"/>
  <c r="T115" i="1"/>
  <c r="U115" i="1" s="1"/>
  <c r="T111" i="1"/>
  <c r="U111" i="1" s="1"/>
  <c r="U112" i="1" s="1"/>
  <c r="T107" i="1"/>
  <c r="U107" i="1" s="1"/>
  <c r="U108" i="1" s="1"/>
  <c r="T104" i="1"/>
  <c r="U104" i="1" s="1"/>
  <c r="T103" i="1"/>
  <c r="U103" i="1" s="1"/>
  <c r="T102" i="1"/>
  <c r="U102" i="1" s="1"/>
  <c r="T95" i="1"/>
  <c r="U95" i="1" s="1"/>
  <c r="U96" i="1" s="1"/>
  <c r="T91" i="1"/>
  <c r="U91" i="1" s="1"/>
  <c r="U92" i="1" s="1"/>
  <c r="T88" i="1"/>
  <c r="U88" i="1" s="1"/>
  <c r="T87" i="1"/>
  <c r="U87" i="1" s="1"/>
  <c r="T86" i="1"/>
  <c r="U86" i="1" s="1"/>
  <c r="T85" i="1"/>
  <c r="T82" i="1"/>
  <c r="U82" i="1" s="1"/>
  <c r="T81" i="1"/>
  <c r="U81" i="1" s="1"/>
  <c r="T80" i="1"/>
  <c r="U80" i="1" s="1"/>
  <c r="T79" i="1"/>
  <c r="U79" i="1" s="1"/>
  <c r="T78" i="1"/>
  <c r="U78" i="1" s="1"/>
  <c r="T77" i="1"/>
  <c r="U77" i="1" s="1"/>
  <c r="T73" i="1"/>
  <c r="U73" i="1" s="1"/>
  <c r="U74" i="1" s="1"/>
  <c r="T71" i="1"/>
  <c r="T70" i="1"/>
  <c r="U70" i="1" s="1"/>
  <c r="U71" i="1" s="1"/>
  <c r="T67" i="1"/>
  <c r="U67" i="1" s="1"/>
  <c r="T66" i="1"/>
  <c r="U66" i="1" s="1"/>
  <c r="T61" i="1"/>
  <c r="U61" i="1" s="1"/>
  <c r="T60" i="1"/>
  <c r="U60" i="1" s="1"/>
  <c r="T59" i="1"/>
  <c r="U59" i="1" s="1"/>
  <c r="T58" i="1"/>
  <c r="U58" i="1" s="1"/>
  <c r="T57" i="1"/>
  <c r="U57" i="1" s="1"/>
  <c r="T56" i="1"/>
  <c r="U56" i="1" s="1"/>
  <c r="T55" i="1"/>
  <c r="U55" i="1" s="1"/>
  <c r="T54" i="1"/>
  <c r="U54" i="1" s="1"/>
  <c r="T53" i="1"/>
  <c r="U53" i="1" s="1"/>
  <c r="T52" i="1"/>
  <c r="U52" i="1" s="1"/>
  <c r="U48" i="1"/>
  <c r="T47" i="1"/>
  <c r="U47" i="1" s="1"/>
  <c r="T46" i="1"/>
  <c r="U46" i="1" s="1"/>
  <c r="T45" i="1"/>
  <c r="U45" i="1" s="1"/>
  <c r="T44" i="1"/>
  <c r="U44" i="1" s="1"/>
  <c r="T40" i="1"/>
  <c r="U40" i="1" s="1"/>
  <c r="U41" i="1" s="1"/>
  <c r="T38" i="1"/>
  <c r="T37" i="1"/>
  <c r="T34" i="1"/>
  <c r="U34" i="1" s="1"/>
  <c r="U35" i="1" s="1"/>
  <c r="T31" i="1"/>
  <c r="U31" i="1" s="1"/>
  <c r="T30" i="1"/>
  <c r="U30" i="1" s="1"/>
  <c r="T29" i="1"/>
  <c r="U29" i="1" s="1"/>
  <c r="T28" i="1"/>
  <c r="U28" i="1" s="1"/>
  <c r="T27" i="1"/>
  <c r="U27" i="1" s="1"/>
  <c r="T26" i="1"/>
  <c r="U26" i="1" s="1"/>
  <c r="T25" i="1"/>
  <c r="U25" i="1" s="1"/>
  <c r="T24" i="1"/>
  <c r="U24" i="1" s="1"/>
  <c r="T23" i="1"/>
  <c r="U23" i="1" s="1"/>
  <c r="T22" i="1"/>
  <c r="U22" i="1" s="1"/>
  <c r="T21" i="1"/>
  <c r="U21" i="1" s="1"/>
  <c r="T20" i="1"/>
  <c r="U20" i="1" s="1"/>
  <c r="T19" i="1"/>
  <c r="U19" i="1" s="1"/>
  <c r="T18" i="1"/>
  <c r="U18" i="1" s="1"/>
  <c r="T17" i="1"/>
  <c r="U17" i="1" s="1"/>
  <c r="T16" i="1"/>
  <c r="U16" i="1" s="1"/>
  <c r="T15" i="1"/>
  <c r="U15" i="1" s="1"/>
  <c r="T14" i="1"/>
  <c r="U14" i="1" s="1"/>
  <c r="T13" i="1"/>
  <c r="U13" i="1" s="1"/>
  <c r="T12" i="1"/>
  <c r="U12" i="1" s="1"/>
  <c r="S23" i="1"/>
  <c r="S239" i="1"/>
  <c r="S238" i="1"/>
  <c r="S221" i="1"/>
  <c r="S233" i="1"/>
  <c r="U62" i="1" l="1"/>
  <c r="U118" i="1"/>
  <c r="U127" i="1"/>
  <c r="U136" i="1"/>
  <c r="U271" i="1"/>
  <c r="U461" i="1"/>
  <c r="U566" i="1"/>
  <c r="U637" i="1"/>
  <c r="U691" i="1"/>
  <c r="U609" i="1"/>
  <c r="U633" i="1"/>
  <c r="U83" i="1"/>
  <c r="U173" i="1"/>
  <c r="U186" i="1"/>
  <c r="U207" i="1"/>
  <c r="U234" i="1"/>
  <c r="U251" i="1"/>
  <c r="U298" i="1"/>
  <c r="U341" i="1"/>
  <c r="U142" i="1"/>
  <c r="U257" i="1"/>
  <c r="U265" i="1"/>
  <c r="U308" i="1"/>
  <c r="U49" i="1"/>
  <c r="U105" i="1"/>
  <c r="U169" i="1"/>
  <c r="U195" i="1"/>
  <c r="U219" i="1"/>
  <c r="U277" i="1"/>
  <c r="U281" i="1"/>
  <c r="U475" i="1"/>
  <c r="U550" i="1"/>
  <c r="U89" i="1"/>
  <c r="U441" i="1"/>
  <c r="U445" i="1"/>
  <c r="U557" i="1"/>
  <c r="U561" i="1"/>
  <c r="U577" i="1"/>
  <c r="U591" i="1"/>
  <c r="U684" i="1"/>
  <c r="U539" i="1"/>
  <c r="U657" i="1"/>
  <c r="U429" i="1"/>
  <c r="U571" i="1"/>
  <c r="U605" i="1"/>
  <c r="U623" i="1"/>
  <c r="U628" i="1"/>
  <c r="U649" i="1"/>
  <c r="U671" i="1"/>
  <c r="U676" i="1"/>
  <c r="U32" i="1"/>
  <c r="U528" i="1"/>
  <c r="U665" i="1"/>
  <c r="U151" i="1"/>
  <c r="U240" i="1"/>
  <c r="T657" i="1"/>
  <c r="U740" i="1"/>
  <c r="S11" i="1"/>
  <c r="S61" i="1"/>
  <c r="S135" i="1" l="1"/>
  <c r="S134" i="1"/>
  <c r="S126" i="1"/>
  <c r="S125" i="1"/>
  <c r="S124" i="1"/>
  <c r="S123" i="1"/>
  <c r="S120" i="1"/>
  <c r="S121" i="1" s="1"/>
  <c r="S117" i="1"/>
  <c r="S116" i="1"/>
  <c r="S115" i="1"/>
  <c r="S111" i="1"/>
  <c r="S112" i="1" s="1"/>
  <c r="S107" i="1"/>
  <c r="S104" i="1"/>
  <c r="S105" i="1" s="1"/>
  <c r="S103" i="1"/>
  <c r="S102" i="1"/>
  <c r="S95" i="1"/>
  <c r="S96" i="1" s="1"/>
  <c r="S91" i="1"/>
  <c r="S88" i="1"/>
  <c r="S87" i="1"/>
  <c r="S86" i="1"/>
  <c r="S85" i="1"/>
  <c r="S82" i="1"/>
  <c r="S81" i="1"/>
  <c r="S80" i="1"/>
  <c r="S79" i="1"/>
  <c r="S78" i="1"/>
  <c r="S77" i="1"/>
  <c r="S73" i="1"/>
  <c r="S70" i="1"/>
  <c r="S67" i="1"/>
  <c r="S66" i="1"/>
  <c r="S60" i="1"/>
  <c r="S59" i="1"/>
  <c r="S58" i="1"/>
  <c r="S57" i="1"/>
  <c r="S56" i="1"/>
  <c r="S55" i="1"/>
  <c r="S54" i="1"/>
  <c r="S53" i="1"/>
  <c r="S52" i="1"/>
  <c r="S48" i="1"/>
  <c r="S46" i="1"/>
  <c r="S45" i="1"/>
  <c r="S44" i="1"/>
  <c r="S40" i="1"/>
  <c r="S41" i="1" s="1"/>
  <c r="S37" i="1"/>
  <c r="S38" i="1" s="1"/>
  <c r="S34" i="1"/>
  <c r="S12" i="1"/>
  <c r="S13" i="1"/>
  <c r="S14" i="1"/>
  <c r="S15" i="1"/>
  <c r="S16" i="1"/>
  <c r="S17" i="1"/>
  <c r="S18" i="1"/>
  <c r="S19" i="1"/>
  <c r="S20" i="1"/>
  <c r="S21" i="1"/>
  <c r="S22" i="1"/>
  <c r="S24" i="1"/>
  <c r="S25" i="1"/>
  <c r="S26" i="1"/>
  <c r="S27" i="1"/>
  <c r="S28" i="1"/>
  <c r="S29" i="1"/>
  <c r="S30" i="1"/>
  <c r="S31" i="1"/>
  <c r="S739" i="1"/>
  <c r="S738" i="1"/>
  <c r="S737" i="1"/>
  <c r="S736" i="1"/>
  <c r="S735" i="1"/>
  <c r="S734" i="1"/>
  <c r="S733" i="1"/>
  <c r="S732" i="1"/>
  <c r="S731" i="1"/>
  <c r="S730" i="1"/>
  <c r="S729" i="1"/>
  <c r="S728" i="1"/>
  <c r="S727" i="1"/>
  <c r="S726" i="1"/>
  <c r="S725" i="1"/>
  <c r="S724" i="1"/>
  <c r="S723" i="1"/>
  <c r="S722" i="1"/>
  <c r="S721" i="1"/>
  <c r="S720" i="1"/>
  <c r="S719" i="1"/>
  <c r="S718" i="1"/>
  <c r="S717" i="1"/>
  <c r="S716" i="1"/>
  <c r="S713" i="1"/>
  <c r="S714" i="1" s="1"/>
  <c r="S710" i="1"/>
  <c r="S711" i="1" s="1"/>
  <c r="S707" i="1"/>
  <c r="S708" i="1" s="1"/>
  <c r="S704" i="1"/>
  <c r="S705" i="1" s="1"/>
  <c r="S700" i="1"/>
  <c r="S701" i="1" s="1"/>
  <c r="S697" i="1"/>
  <c r="S698" i="1" s="1"/>
  <c r="S693" i="1"/>
  <c r="S694" i="1" s="1"/>
  <c r="S690" i="1"/>
  <c r="S689" i="1"/>
  <c r="S688" i="1"/>
  <c r="S687" i="1"/>
  <c r="S683" i="1"/>
  <c r="S682" i="1"/>
  <c r="S681" i="1"/>
  <c r="S680" i="1"/>
  <c r="S679" i="1"/>
  <c r="S678" i="1"/>
  <c r="S675" i="1"/>
  <c r="S674" i="1"/>
  <c r="S673" i="1"/>
  <c r="S676" i="1" s="1"/>
  <c r="S670" i="1"/>
  <c r="S669" i="1"/>
  <c r="S668" i="1"/>
  <c r="S667" i="1"/>
  <c r="S664" i="1"/>
  <c r="S663" i="1"/>
  <c r="S662" i="1"/>
  <c r="S661" i="1"/>
  <c r="S660" i="1"/>
  <c r="S659" i="1"/>
  <c r="S656" i="1"/>
  <c r="S655" i="1"/>
  <c r="S654" i="1"/>
  <c r="S653" i="1"/>
  <c r="S652" i="1"/>
  <c r="S648" i="1"/>
  <c r="S647" i="1"/>
  <c r="S646" i="1"/>
  <c r="S645" i="1"/>
  <c r="S644" i="1"/>
  <c r="S640" i="1"/>
  <c r="S641" i="1" s="1"/>
  <c r="S636" i="1"/>
  <c r="S635" i="1"/>
  <c r="S632" i="1"/>
  <c r="S631" i="1"/>
  <c r="S630" i="1"/>
  <c r="S627" i="1"/>
  <c r="S626" i="1"/>
  <c r="S622" i="1"/>
  <c r="S621" i="1"/>
  <c r="S620" i="1"/>
  <c r="S619" i="1"/>
  <c r="S618" i="1"/>
  <c r="S617" i="1"/>
  <c r="S616" i="1"/>
  <c r="S615" i="1"/>
  <c r="S614" i="1"/>
  <c r="S613" i="1"/>
  <c r="S612" i="1"/>
  <c r="S611" i="1"/>
  <c r="S608" i="1"/>
  <c r="S607" i="1"/>
  <c r="S604" i="1"/>
  <c r="S603" i="1"/>
  <c r="S602" i="1"/>
  <c r="S601" i="1"/>
  <c r="S600" i="1"/>
  <c r="S599" i="1"/>
  <c r="S596" i="1"/>
  <c r="S597" i="1" s="1"/>
  <c r="S593" i="1"/>
  <c r="S594" i="1" s="1"/>
  <c r="S590" i="1"/>
  <c r="S589" i="1"/>
  <c r="S588" i="1"/>
  <c r="S587" i="1"/>
  <c r="S586" i="1"/>
  <c r="S585" i="1"/>
  <c r="S584" i="1"/>
  <c r="S583" i="1"/>
  <c r="S582" i="1"/>
  <c r="S581" i="1"/>
  <c r="S580" i="1"/>
  <c r="S576" i="1"/>
  <c r="S575" i="1"/>
  <c r="S574" i="1"/>
  <c r="S573" i="1"/>
  <c r="S570" i="1"/>
  <c r="S569" i="1"/>
  <c r="S568" i="1"/>
  <c r="S565" i="1"/>
  <c r="S564" i="1"/>
  <c r="S563" i="1"/>
  <c r="S560" i="1"/>
  <c r="S559" i="1"/>
  <c r="S556" i="1"/>
  <c r="S555" i="1"/>
  <c r="S554" i="1"/>
  <c r="S553" i="1"/>
  <c r="S549" i="1"/>
  <c r="S548" i="1"/>
  <c r="S547" i="1"/>
  <c r="S546" i="1"/>
  <c r="S545" i="1"/>
  <c r="S544" i="1"/>
  <c r="S543" i="1"/>
  <c r="S542" i="1"/>
  <c r="S541" i="1"/>
  <c r="S538" i="1"/>
  <c r="S537" i="1"/>
  <c r="S536" i="1"/>
  <c r="S535" i="1"/>
  <c r="S534" i="1"/>
  <c r="S533" i="1"/>
  <c r="S532" i="1"/>
  <c r="S531" i="1"/>
  <c r="S530" i="1"/>
  <c r="S527" i="1"/>
  <c r="S526" i="1"/>
  <c r="S525" i="1"/>
  <c r="S524" i="1"/>
  <c r="S523" i="1"/>
  <c r="S522" i="1"/>
  <c r="S521" i="1"/>
  <c r="S520" i="1"/>
  <c r="S519" i="1"/>
  <c r="S518" i="1"/>
  <c r="S517" i="1"/>
  <c r="S516" i="1"/>
  <c r="S515" i="1"/>
  <c r="S514" i="1"/>
  <c r="S513" i="1"/>
  <c r="S512" i="1"/>
  <c r="S511" i="1"/>
  <c r="S510" i="1"/>
  <c r="S509" i="1"/>
  <c r="S508" i="1"/>
  <c r="S507" i="1"/>
  <c r="S506" i="1"/>
  <c r="S505" i="1"/>
  <c r="S504" i="1"/>
  <c r="S503" i="1"/>
  <c r="S502" i="1"/>
  <c r="S501" i="1"/>
  <c r="S500" i="1"/>
  <c r="S499" i="1"/>
  <c r="S498" i="1"/>
  <c r="S497" i="1"/>
  <c r="S496" i="1"/>
  <c r="S495" i="1"/>
  <c r="S494" i="1"/>
  <c r="S493" i="1"/>
  <c r="S492" i="1"/>
  <c r="S491" i="1"/>
  <c r="S490" i="1"/>
  <c r="S489" i="1"/>
  <c r="S488" i="1"/>
  <c r="S487" i="1"/>
  <c r="S486" i="1"/>
  <c r="S485" i="1"/>
  <c r="S484" i="1"/>
  <c r="S483" i="1"/>
  <c r="S482" i="1"/>
  <c r="S481" i="1"/>
  <c r="S480" i="1"/>
  <c r="S479" i="1"/>
  <c r="S478" i="1"/>
  <c r="S477" i="1"/>
  <c r="S474" i="1"/>
  <c r="S473" i="1"/>
  <c r="S472" i="1"/>
  <c r="S471" i="1"/>
  <c r="S470" i="1"/>
  <c r="S469" i="1"/>
  <c r="S468" i="1"/>
  <c r="S467" i="1"/>
  <c r="S466" i="1"/>
  <c r="S465" i="1"/>
  <c r="S464" i="1"/>
  <c r="S463" i="1"/>
  <c r="S460" i="1"/>
  <c r="S459" i="1"/>
  <c r="S458" i="1"/>
  <c r="S457" i="1"/>
  <c r="S456" i="1"/>
  <c r="S455" i="1"/>
  <c r="S454" i="1"/>
  <c r="S453" i="1"/>
  <c r="S452" i="1"/>
  <c r="S451" i="1"/>
  <c r="S450" i="1"/>
  <c r="S449" i="1"/>
  <c r="S448" i="1"/>
  <c r="S444" i="1"/>
  <c r="S443" i="1"/>
  <c r="S440" i="1"/>
  <c r="S439" i="1"/>
  <c r="S438" i="1"/>
  <c r="S437" i="1"/>
  <c r="S436" i="1"/>
  <c r="S435" i="1"/>
  <c r="S434" i="1"/>
  <c r="S433" i="1"/>
  <c r="S428" i="1"/>
  <c r="S427" i="1"/>
  <c r="S426" i="1"/>
  <c r="S425" i="1"/>
  <c r="S424" i="1"/>
  <c r="S423" i="1"/>
  <c r="S422" i="1"/>
  <c r="S421" i="1"/>
  <c r="S420" i="1"/>
  <c r="S419" i="1"/>
  <c r="S418" i="1"/>
  <c r="S417" i="1"/>
  <c r="S416" i="1"/>
  <c r="S415" i="1"/>
  <c r="S414" i="1"/>
  <c r="S413" i="1"/>
  <c r="S412" i="1"/>
  <c r="S411" i="1"/>
  <c r="S410" i="1"/>
  <c r="S409" i="1"/>
  <c r="S408" i="1"/>
  <c r="S407" i="1"/>
  <c r="S406" i="1"/>
  <c r="S405" i="1"/>
  <c r="S404" i="1"/>
  <c r="S403" i="1"/>
  <c r="S402" i="1"/>
  <c r="S401" i="1"/>
  <c r="S400" i="1"/>
  <c r="S399" i="1"/>
  <c r="S398" i="1"/>
  <c r="S397" i="1"/>
  <c r="S396" i="1"/>
  <c r="S395" i="1"/>
  <c r="S394" i="1"/>
  <c r="S393" i="1"/>
  <c r="S392" i="1"/>
  <c r="S391" i="1"/>
  <c r="S390" i="1"/>
  <c r="S389" i="1"/>
  <c r="S388" i="1"/>
  <c r="S387" i="1"/>
  <c r="S386" i="1"/>
  <c r="S385" i="1"/>
  <c r="S384" i="1"/>
  <c r="S383" i="1"/>
  <c r="S382" i="1"/>
  <c r="S381" i="1"/>
  <c r="S380" i="1"/>
  <c r="S379" i="1"/>
  <c r="S378" i="1"/>
  <c r="S377" i="1"/>
  <c r="S376" i="1"/>
  <c r="S375" i="1"/>
  <c r="S374" i="1"/>
  <c r="S373" i="1"/>
  <c r="S372" i="1"/>
  <c r="S371" i="1"/>
  <c r="S370" i="1"/>
  <c r="S369" i="1"/>
  <c r="S368" i="1"/>
  <c r="S367" i="1"/>
  <c r="S366" i="1"/>
  <c r="S365" i="1"/>
  <c r="S364" i="1"/>
  <c r="S363" i="1"/>
  <c r="S362" i="1"/>
  <c r="S361" i="1"/>
  <c r="S360" i="1"/>
  <c r="S359" i="1"/>
  <c r="S358" i="1"/>
  <c r="S357" i="1"/>
  <c r="S356" i="1"/>
  <c r="S355" i="1"/>
  <c r="S354" i="1"/>
  <c r="S353" i="1"/>
  <c r="S352" i="1"/>
  <c r="S351" i="1"/>
  <c r="S350" i="1"/>
  <c r="S349" i="1"/>
  <c r="S348" i="1"/>
  <c r="S347" i="1"/>
  <c r="S346" i="1"/>
  <c r="S345" i="1"/>
  <c r="S344" i="1"/>
  <c r="S343" i="1"/>
  <c r="S340" i="1"/>
  <c r="S339" i="1"/>
  <c r="S338" i="1"/>
  <c r="S337" i="1"/>
  <c r="S336" i="1"/>
  <c r="S335" i="1"/>
  <c r="S334" i="1"/>
  <c r="S333" i="1"/>
  <c r="S332" i="1"/>
  <c r="S331" i="1"/>
  <c r="S330" i="1"/>
  <c r="S329" i="1"/>
  <c r="S328" i="1"/>
  <c r="S327" i="1"/>
  <c r="S326" i="1"/>
  <c r="S325" i="1"/>
  <c r="S324" i="1"/>
  <c r="S323" i="1"/>
  <c r="S322" i="1"/>
  <c r="S321" i="1"/>
  <c r="S320" i="1"/>
  <c r="S319" i="1"/>
  <c r="S318" i="1"/>
  <c r="S317" i="1"/>
  <c r="S316" i="1"/>
  <c r="S315" i="1"/>
  <c r="S314" i="1"/>
  <c r="S313" i="1"/>
  <c r="S312" i="1"/>
  <c r="S311" i="1"/>
  <c r="S307" i="1"/>
  <c r="S306" i="1"/>
  <c r="S305" i="1"/>
  <c r="S302" i="1"/>
  <c r="S301" i="1"/>
  <c r="S300" i="1"/>
  <c r="S297" i="1"/>
  <c r="S296" i="1"/>
  <c r="S295" i="1"/>
  <c r="S294" i="1"/>
  <c r="S293" i="1"/>
  <c r="S292" i="1"/>
  <c r="S291" i="1"/>
  <c r="S290" i="1"/>
  <c r="S289" i="1"/>
  <c r="S288" i="1"/>
  <c r="S287" i="1"/>
  <c r="S286" i="1"/>
  <c r="S285" i="1"/>
  <c r="S284" i="1"/>
  <c r="S283" i="1"/>
  <c r="S280" i="1"/>
  <c r="S279" i="1"/>
  <c r="S276" i="1"/>
  <c r="S275" i="1"/>
  <c r="S274" i="1"/>
  <c r="S273" i="1"/>
  <c r="S270" i="1"/>
  <c r="S269" i="1"/>
  <c r="S268" i="1"/>
  <c r="S264" i="1"/>
  <c r="S263" i="1"/>
  <c r="S262" i="1"/>
  <c r="S261" i="1"/>
  <c r="S260" i="1"/>
  <c r="S259" i="1"/>
  <c r="S256" i="1"/>
  <c r="S255" i="1"/>
  <c r="S254" i="1"/>
  <c r="S253" i="1"/>
  <c r="S250" i="1"/>
  <c r="S249" i="1"/>
  <c r="S248" i="1"/>
  <c r="S247" i="1"/>
  <c r="S246" i="1"/>
  <c r="S245" i="1"/>
  <c r="S244" i="1"/>
  <c r="S243" i="1"/>
  <c r="S242" i="1"/>
  <c r="S232" i="1"/>
  <c r="S231" i="1"/>
  <c r="S230" i="1"/>
  <c r="S229" i="1"/>
  <c r="S228" i="1"/>
  <c r="S225" i="1"/>
  <c r="S224" i="1"/>
  <c r="S223" i="1"/>
  <c r="S222" i="1"/>
  <c r="S218" i="1"/>
  <c r="S217" i="1"/>
  <c r="S213" i="1"/>
  <c r="S214" i="1" s="1"/>
  <c r="S210" i="1"/>
  <c r="S209" i="1"/>
  <c r="S211" i="1" s="1"/>
  <c r="S206" i="1"/>
  <c r="S205" i="1"/>
  <c r="S204" i="1"/>
  <c r="S201" i="1"/>
  <c r="S202" i="1" s="1"/>
  <c r="S197" i="1"/>
  <c r="S198" i="1" s="1"/>
  <c r="S194" i="1"/>
  <c r="S193" i="1"/>
  <c r="S192" i="1"/>
  <c r="S189" i="1"/>
  <c r="S190" i="1" s="1"/>
  <c r="S185" i="1"/>
  <c r="S184" i="1"/>
  <c r="S183" i="1"/>
  <c r="S180" i="1"/>
  <c r="S181" i="1" s="1"/>
  <c r="S176" i="1"/>
  <c r="S177" i="1" s="1"/>
  <c r="S172" i="1"/>
  <c r="S171" i="1"/>
  <c r="S173" i="1" s="1"/>
  <c r="S168" i="1"/>
  <c r="S167" i="1"/>
  <c r="S166" i="1"/>
  <c r="S163" i="1"/>
  <c r="S162" i="1"/>
  <c r="S158" i="1"/>
  <c r="S159" i="1" s="1"/>
  <c r="S155" i="1"/>
  <c r="S156" i="1" s="1"/>
  <c r="S150" i="1"/>
  <c r="S149" i="1"/>
  <c r="S148" i="1"/>
  <c r="S147" i="1"/>
  <c r="S146" i="1"/>
  <c r="S145" i="1"/>
  <c r="S144" i="1"/>
  <c r="S141" i="1"/>
  <c r="S140" i="1"/>
  <c r="S139" i="1"/>
  <c r="S108" i="1"/>
  <c r="S92" i="1"/>
  <c r="S74" i="1"/>
  <c r="S71" i="1"/>
  <c r="S35" i="1"/>
  <c r="H393" i="1"/>
  <c r="H394" i="1"/>
  <c r="H395" i="1"/>
  <c r="H396" i="1"/>
  <c r="H397" i="1"/>
  <c r="H398" i="1"/>
  <c r="H399" i="1"/>
  <c r="H400" i="1"/>
  <c r="H401" i="1"/>
  <c r="H402" i="1"/>
  <c r="H403" i="1"/>
  <c r="H404" i="1"/>
  <c r="H405" i="1"/>
  <c r="H406" i="1"/>
  <c r="H407" i="1"/>
  <c r="H408" i="1"/>
  <c r="H409" i="1"/>
  <c r="H410" i="1"/>
  <c r="H411" i="1"/>
  <c r="H412" i="1"/>
  <c r="H413" i="1"/>
  <c r="H414" i="1"/>
  <c r="H415" i="1"/>
  <c r="H416" i="1"/>
  <c r="H417" i="1"/>
  <c r="H418" i="1"/>
  <c r="H419" i="1"/>
  <c r="H420" i="1"/>
  <c r="H421" i="1"/>
  <c r="H422" i="1"/>
  <c r="H423" i="1"/>
  <c r="H424" i="1"/>
  <c r="H425" i="1"/>
  <c r="H426" i="1"/>
  <c r="H427" i="1"/>
  <c r="H428" i="1"/>
  <c r="H433" i="1"/>
  <c r="H434" i="1"/>
  <c r="H435" i="1"/>
  <c r="H436" i="1"/>
  <c r="H437" i="1"/>
  <c r="H438" i="1"/>
  <c r="H439" i="1"/>
  <c r="H440" i="1"/>
  <c r="H443" i="1"/>
  <c r="H444" i="1"/>
  <c r="H448" i="1"/>
  <c r="H449" i="1"/>
  <c r="H450" i="1"/>
  <c r="H451" i="1"/>
  <c r="H452" i="1"/>
  <c r="H453" i="1"/>
  <c r="H454" i="1"/>
  <c r="H455" i="1"/>
  <c r="H456" i="1"/>
  <c r="H457" i="1"/>
  <c r="H458" i="1"/>
  <c r="H459" i="1"/>
  <c r="H460" i="1"/>
  <c r="H463" i="1"/>
  <c r="H464" i="1"/>
  <c r="H465" i="1"/>
  <c r="H466" i="1"/>
  <c r="H467" i="1"/>
  <c r="H468" i="1"/>
  <c r="H469" i="1"/>
  <c r="H470" i="1"/>
  <c r="H471" i="1"/>
  <c r="H472" i="1"/>
  <c r="H473" i="1"/>
  <c r="H474" i="1"/>
  <c r="H477" i="1"/>
  <c r="H478" i="1"/>
  <c r="H479" i="1"/>
  <c r="H480" i="1"/>
  <c r="H481" i="1"/>
  <c r="H482" i="1"/>
  <c r="H483" i="1"/>
  <c r="H484" i="1"/>
  <c r="H485" i="1"/>
  <c r="H486" i="1"/>
  <c r="H487" i="1"/>
  <c r="H488" i="1"/>
  <c r="H489" i="1"/>
  <c r="H490" i="1"/>
  <c r="H491" i="1"/>
  <c r="H492" i="1"/>
  <c r="H493" i="1"/>
  <c r="H494" i="1"/>
  <c r="H495" i="1"/>
  <c r="H496" i="1"/>
  <c r="H497" i="1"/>
  <c r="H498" i="1"/>
  <c r="H499" i="1"/>
  <c r="H500" i="1"/>
  <c r="H501" i="1"/>
  <c r="H502" i="1"/>
  <c r="H503" i="1"/>
  <c r="H504" i="1"/>
  <c r="H505" i="1"/>
  <c r="H506" i="1"/>
  <c r="H507" i="1"/>
  <c r="H508" i="1"/>
  <c r="H509" i="1"/>
  <c r="H510" i="1"/>
  <c r="H511" i="1"/>
  <c r="H512" i="1"/>
  <c r="H513" i="1"/>
  <c r="H514" i="1"/>
  <c r="H515" i="1"/>
  <c r="H516" i="1"/>
  <c r="H517" i="1"/>
  <c r="H518" i="1"/>
  <c r="H519" i="1"/>
  <c r="H520" i="1"/>
  <c r="H521" i="1"/>
  <c r="H522" i="1"/>
  <c r="H523" i="1"/>
  <c r="H524" i="1"/>
  <c r="H525" i="1"/>
  <c r="H526" i="1"/>
  <c r="H527" i="1"/>
  <c r="H530" i="1"/>
  <c r="H531" i="1"/>
  <c r="H532" i="1"/>
  <c r="H533" i="1"/>
  <c r="H534" i="1"/>
  <c r="H535" i="1"/>
  <c r="H536" i="1"/>
  <c r="H537" i="1"/>
  <c r="H538" i="1"/>
  <c r="H541" i="1"/>
  <c r="H542" i="1"/>
  <c r="H543" i="1"/>
  <c r="H544" i="1"/>
  <c r="H545" i="1"/>
  <c r="H546" i="1"/>
  <c r="H547" i="1"/>
  <c r="H548" i="1"/>
  <c r="H549" i="1"/>
  <c r="H553" i="1"/>
  <c r="H554" i="1"/>
  <c r="H555" i="1"/>
  <c r="H556" i="1"/>
  <c r="H559" i="1"/>
  <c r="H560" i="1"/>
  <c r="H563" i="1"/>
  <c r="H564" i="1"/>
  <c r="H565" i="1"/>
  <c r="H568" i="1"/>
  <c r="H569" i="1"/>
  <c r="H570" i="1"/>
  <c r="H573" i="1"/>
  <c r="H574" i="1"/>
  <c r="H575" i="1"/>
  <c r="H576" i="1"/>
  <c r="H580" i="1"/>
  <c r="H581" i="1"/>
  <c r="H582" i="1"/>
  <c r="H583" i="1"/>
  <c r="H584" i="1"/>
  <c r="H585" i="1"/>
  <c r="H586" i="1"/>
  <c r="H587" i="1"/>
  <c r="H588" i="1"/>
  <c r="H589" i="1"/>
  <c r="H590" i="1"/>
  <c r="H593" i="1"/>
  <c r="H594" i="1" s="1"/>
  <c r="H596" i="1"/>
  <c r="H597" i="1" s="1"/>
  <c r="H599" i="1"/>
  <c r="H600" i="1"/>
  <c r="H601" i="1"/>
  <c r="H602" i="1"/>
  <c r="H603" i="1"/>
  <c r="H604" i="1"/>
  <c r="H607" i="1"/>
  <c r="H608" i="1"/>
  <c r="H611" i="1"/>
  <c r="H612" i="1"/>
  <c r="H613" i="1"/>
  <c r="H614" i="1"/>
  <c r="H615" i="1"/>
  <c r="H616" i="1"/>
  <c r="H617" i="1"/>
  <c r="H618" i="1"/>
  <c r="H619" i="1"/>
  <c r="H620" i="1"/>
  <c r="H621" i="1"/>
  <c r="H622" i="1"/>
  <c r="H626" i="1"/>
  <c r="H627" i="1"/>
  <c r="H630" i="1"/>
  <c r="H631" i="1"/>
  <c r="H632" i="1"/>
  <c r="H635" i="1"/>
  <c r="H636" i="1"/>
  <c r="H640" i="1"/>
  <c r="H644" i="1"/>
  <c r="H645" i="1"/>
  <c r="H646" i="1"/>
  <c r="H647" i="1"/>
  <c r="H648" i="1"/>
  <c r="H652" i="1"/>
  <c r="H653" i="1"/>
  <c r="H654" i="1"/>
  <c r="H655" i="1"/>
  <c r="H656" i="1"/>
  <c r="H659" i="1"/>
  <c r="H660" i="1"/>
  <c r="H661" i="1"/>
  <c r="H662" i="1"/>
  <c r="H663" i="1"/>
  <c r="H664" i="1"/>
  <c r="H667" i="1"/>
  <c r="H668" i="1"/>
  <c r="H669" i="1"/>
  <c r="H670" i="1"/>
  <c r="H673" i="1"/>
  <c r="H674" i="1"/>
  <c r="H675" i="1"/>
  <c r="H678" i="1"/>
  <c r="H679" i="1"/>
  <c r="H680" i="1"/>
  <c r="H681" i="1"/>
  <c r="H682" i="1"/>
  <c r="H683" i="1"/>
  <c r="H687" i="1"/>
  <c r="H688" i="1"/>
  <c r="H689" i="1"/>
  <c r="H690" i="1"/>
  <c r="H693" i="1"/>
  <c r="H697" i="1"/>
  <c r="H698" i="1" s="1"/>
  <c r="H700" i="1"/>
  <c r="H704" i="1"/>
  <c r="H705" i="1" s="1"/>
  <c r="H707" i="1"/>
  <c r="H710" i="1"/>
  <c r="H711" i="1" s="1"/>
  <c r="H713" i="1"/>
  <c r="H716" i="1"/>
  <c r="H717" i="1"/>
  <c r="H718" i="1"/>
  <c r="H719" i="1"/>
  <c r="H720" i="1"/>
  <c r="H721" i="1"/>
  <c r="H722" i="1"/>
  <c r="H723" i="1"/>
  <c r="H724" i="1"/>
  <c r="H725" i="1"/>
  <c r="H726" i="1"/>
  <c r="H727" i="1"/>
  <c r="H728" i="1"/>
  <c r="H729" i="1"/>
  <c r="H730" i="1"/>
  <c r="H731" i="1"/>
  <c r="H732" i="1"/>
  <c r="H733" i="1"/>
  <c r="H734" i="1"/>
  <c r="H735" i="1"/>
  <c r="H736" i="1"/>
  <c r="H737" i="1"/>
  <c r="H738" i="1"/>
  <c r="H739" i="1"/>
  <c r="L747" i="1"/>
  <c r="N751" i="1"/>
  <c r="O751" i="1"/>
  <c r="H392" i="1"/>
  <c r="H391" i="1"/>
  <c r="H390" i="1"/>
  <c r="H389" i="1"/>
  <c r="H388" i="1"/>
  <c r="H387" i="1"/>
  <c r="H386" i="1"/>
  <c r="H385" i="1"/>
  <c r="H384" i="1"/>
  <c r="H383" i="1"/>
  <c r="H382" i="1"/>
  <c r="H381" i="1"/>
  <c r="H380" i="1"/>
  <c r="H379" i="1"/>
  <c r="H378" i="1"/>
  <c r="H377" i="1"/>
  <c r="H376" i="1"/>
  <c r="H375" i="1"/>
  <c r="H374" i="1"/>
  <c r="H373" i="1"/>
  <c r="H372" i="1"/>
  <c r="H371" i="1"/>
  <c r="H370" i="1"/>
  <c r="H369" i="1"/>
  <c r="H368" i="1"/>
  <c r="H367" i="1"/>
  <c r="H366" i="1"/>
  <c r="H365" i="1"/>
  <c r="H364" i="1"/>
  <c r="H363" i="1"/>
  <c r="H362" i="1"/>
  <c r="H361" i="1"/>
  <c r="H360" i="1"/>
  <c r="H359" i="1"/>
  <c r="H358" i="1"/>
  <c r="H357" i="1"/>
  <c r="H356" i="1"/>
  <c r="H355" i="1"/>
  <c r="H354" i="1"/>
  <c r="H353" i="1"/>
  <c r="H352" i="1"/>
  <c r="H351" i="1"/>
  <c r="H350" i="1"/>
  <c r="H349" i="1"/>
  <c r="H348" i="1"/>
  <c r="H347" i="1"/>
  <c r="H346" i="1"/>
  <c r="H345" i="1"/>
  <c r="H344" i="1"/>
  <c r="H343" i="1"/>
  <c r="H340" i="1"/>
  <c r="H339" i="1"/>
  <c r="H338" i="1"/>
  <c r="H337" i="1"/>
  <c r="H336" i="1"/>
  <c r="H335" i="1"/>
  <c r="H334" i="1"/>
  <c r="H333" i="1"/>
  <c r="H332" i="1"/>
  <c r="H331" i="1"/>
  <c r="H330" i="1"/>
  <c r="H329" i="1"/>
  <c r="H328" i="1"/>
  <c r="H327" i="1"/>
  <c r="H326" i="1"/>
  <c r="H325" i="1"/>
  <c r="H324" i="1"/>
  <c r="H323" i="1"/>
  <c r="H322" i="1"/>
  <c r="H321" i="1"/>
  <c r="H320" i="1"/>
  <c r="H319" i="1"/>
  <c r="H318" i="1"/>
  <c r="H317" i="1"/>
  <c r="H316" i="1"/>
  <c r="H315" i="1"/>
  <c r="H314" i="1"/>
  <c r="H313" i="1"/>
  <c r="H312" i="1"/>
  <c r="H311" i="1"/>
  <c r="H307" i="1"/>
  <c r="H306" i="1"/>
  <c r="H305" i="1"/>
  <c r="H302" i="1"/>
  <c r="H301" i="1"/>
  <c r="H300" i="1"/>
  <c r="H297" i="1"/>
  <c r="H296" i="1"/>
  <c r="H295" i="1"/>
  <c r="H294" i="1"/>
  <c r="H293" i="1"/>
  <c r="H292" i="1"/>
  <c r="H291" i="1"/>
  <c r="H290" i="1"/>
  <c r="H289" i="1"/>
  <c r="H288" i="1"/>
  <c r="H287" i="1"/>
  <c r="H286" i="1"/>
  <c r="H285" i="1"/>
  <c r="H284" i="1"/>
  <c r="H283" i="1"/>
  <c r="H280" i="1"/>
  <c r="H279" i="1"/>
  <c r="H276" i="1"/>
  <c r="H275" i="1"/>
  <c r="H274" i="1"/>
  <c r="H273" i="1"/>
  <c r="H270" i="1"/>
  <c r="H269" i="1"/>
  <c r="H268" i="1"/>
  <c r="H264" i="1"/>
  <c r="H263" i="1"/>
  <c r="H262" i="1"/>
  <c r="H261" i="1"/>
  <c r="H260" i="1"/>
  <c r="H259" i="1"/>
  <c r="H256" i="1"/>
  <c r="H255" i="1"/>
  <c r="H254" i="1"/>
  <c r="H253" i="1"/>
  <c r="H250" i="1"/>
  <c r="H249" i="1"/>
  <c r="H248" i="1"/>
  <c r="H247" i="1"/>
  <c r="H246" i="1"/>
  <c r="H245" i="1"/>
  <c r="H244" i="1"/>
  <c r="H243" i="1"/>
  <c r="H242" i="1"/>
  <c r="H239" i="1"/>
  <c r="H238" i="1"/>
  <c r="H233" i="1"/>
  <c r="H232" i="1"/>
  <c r="H231" i="1"/>
  <c r="H230" i="1"/>
  <c r="H229" i="1"/>
  <c r="H228" i="1"/>
  <c r="H225" i="1"/>
  <c r="H224" i="1"/>
  <c r="F223" i="1"/>
  <c r="H222" i="1"/>
  <c r="H221" i="1"/>
  <c r="H218" i="1"/>
  <c r="H217" i="1"/>
  <c r="H213" i="1"/>
  <c r="H210" i="1"/>
  <c r="H209" i="1"/>
  <c r="H206" i="1"/>
  <c r="H205" i="1"/>
  <c r="H204" i="1"/>
  <c r="H201" i="1"/>
  <c r="H197" i="1"/>
  <c r="H198" i="1" s="1"/>
  <c r="H194" i="1"/>
  <c r="H193" i="1"/>
  <c r="H192" i="1"/>
  <c r="H189" i="1"/>
  <c r="H185" i="1"/>
  <c r="H184" i="1"/>
  <c r="H183" i="1"/>
  <c r="H180" i="1"/>
  <c r="H176" i="1"/>
  <c r="H172" i="1"/>
  <c r="H171" i="1"/>
  <c r="H168" i="1"/>
  <c r="H167" i="1"/>
  <c r="H166" i="1"/>
  <c r="F163" i="1"/>
  <c r="H162" i="1"/>
  <c r="H158" i="1"/>
  <c r="H155" i="1"/>
  <c r="H150" i="1"/>
  <c r="H149" i="1"/>
  <c r="H148" i="1"/>
  <c r="H147" i="1"/>
  <c r="H146" i="1"/>
  <c r="H145" i="1"/>
  <c r="H144" i="1"/>
  <c r="H141" i="1"/>
  <c r="H140" i="1"/>
  <c r="H139" i="1"/>
  <c r="H135" i="1"/>
  <c r="H134" i="1"/>
  <c r="H126" i="1"/>
  <c r="H125" i="1"/>
  <c r="H124" i="1"/>
  <c r="H123" i="1"/>
  <c r="H120" i="1"/>
  <c r="H117" i="1"/>
  <c r="H116" i="1"/>
  <c r="H115" i="1"/>
  <c r="H111" i="1"/>
  <c r="H112" i="1" s="1"/>
  <c r="H107" i="1"/>
  <c r="H104" i="1"/>
  <c r="H103" i="1"/>
  <c r="H102" i="1"/>
  <c r="H95" i="1"/>
  <c r="H91" i="1"/>
  <c r="H88" i="1"/>
  <c r="H87" i="1"/>
  <c r="H86" i="1"/>
  <c r="H85" i="1"/>
  <c r="H82" i="1"/>
  <c r="H81" i="1"/>
  <c r="H80" i="1"/>
  <c r="H79" i="1"/>
  <c r="H78" i="1"/>
  <c r="H77" i="1"/>
  <c r="H73" i="1"/>
  <c r="H74" i="1" s="1"/>
  <c r="H70" i="1"/>
  <c r="H71" i="1" s="1"/>
  <c r="H67" i="1"/>
  <c r="H66" i="1"/>
  <c r="H65" i="1"/>
  <c r="H61" i="1"/>
  <c r="H60" i="1"/>
  <c r="H59" i="1"/>
  <c r="H58" i="1"/>
  <c r="H57" i="1"/>
  <c r="H56" i="1"/>
  <c r="H55" i="1"/>
  <c r="H54" i="1"/>
  <c r="H53" i="1"/>
  <c r="H52" i="1"/>
  <c r="H48" i="1"/>
  <c r="H47" i="1"/>
  <c r="H46" i="1"/>
  <c r="H45" i="1"/>
  <c r="H44" i="1"/>
  <c r="H40" i="1"/>
  <c r="H37" i="1"/>
  <c r="H34" i="1"/>
  <c r="H35" i="1" s="1"/>
  <c r="H31" i="1"/>
  <c r="H30" i="1"/>
  <c r="H29" i="1"/>
  <c r="H28" i="1"/>
  <c r="H27" i="1"/>
  <c r="H26" i="1"/>
  <c r="H25" i="1"/>
  <c r="H24" i="1"/>
  <c r="H23" i="1"/>
  <c r="H22" i="1"/>
  <c r="H21" i="1"/>
  <c r="H20" i="1"/>
  <c r="H19" i="1"/>
  <c r="H18" i="1"/>
  <c r="H17" i="1"/>
  <c r="H16" i="1"/>
  <c r="H15" i="1"/>
  <c r="H14" i="1"/>
  <c r="H13" i="1"/>
  <c r="H12" i="1"/>
  <c r="H11" i="1"/>
  <c r="H223" i="1" l="1"/>
  <c r="T223" i="1"/>
  <c r="U223" i="1" s="1"/>
  <c r="U226" i="1" s="1"/>
  <c r="S429" i="1"/>
  <c r="S118" i="1"/>
  <c r="H163" i="1"/>
  <c r="T163" i="1"/>
  <c r="U163" i="1" s="1"/>
  <c r="U164" i="1" s="1"/>
  <c r="S550" i="1"/>
  <c r="S89" i="1"/>
  <c r="S341" i="1"/>
  <c r="H173" i="1"/>
  <c r="H550" i="1"/>
  <c r="H136" i="1"/>
  <c r="H671" i="1"/>
  <c r="H676" i="1"/>
  <c r="H637" i="1"/>
  <c r="S628" i="1"/>
  <c r="H96" i="1"/>
  <c r="H159" i="1"/>
  <c r="H38" i="1"/>
  <c r="H49" i="1"/>
  <c r="H105" i="1"/>
  <c r="H142" i="1"/>
  <c r="H181" i="1"/>
  <c r="H214" i="1"/>
  <c r="H226" i="1"/>
  <c r="H121" i="1"/>
  <c r="H195" i="1"/>
  <c r="H298" i="1"/>
  <c r="H186" i="1"/>
  <c r="H32" i="1"/>
  <c r="H257" i="1"/>
  <c r="H265" i="1"/>
  <c r="H41" i="1"/>
  <c r="H62" i="1"/>
  <c r="H68" i="1"/>
  <c r="H89" i="1"/>
  <c r="H92" i="1"/>
  <c r="H169" i="1"/>
  <c r="H234" i="1"/>
  <c r="H240" i="1"/>
  <c r="H164" i="1"/>
  <c r="H341" i="1"/>
  <c r="H118" i="1"/>
  <c r="H127" i="1"/>
  <c r="H202" i="1"/>
  <c r="H211" i="1"/>
  <c r="H219" i="1"/>
  <c r="H271" i="1"/>
  <c r="H277" i="1"/>
  <c r="H281" i="1"/>
  <c r="H308" i="1"/>
  <c r="H83" i="1"/>
  <c r="H108" i="1"/>
  <c r="H151" i="1"/>
  <c r="H156" i="1"/>
  <c r="H177" i="1"/>
  <c r="H190" i="1"/>
  <c r="H207" i="1"/>
  <c r="H251" i="1"/>
  <c r="H303" i="1"/>
  <c r="H605" i="1"/>
  <c r="H657" i="1"/>
  <c r="H577" i="1"/>
  <c r="S308" i="1"/>
  <c r="S136" i="1"/>
  <c r="S240" i="1"/>
  <c r="S475" i="1"/>
  <c r="S609" i="1"/>
  <c r="S671" i="1"/>
  <c r="S169" i="1"/>
  <c r="S577" i="1"/>
  <c r="S83" i="1"/>
  <c r="S219" i="1"/>
  <c r="S234" i="1"/>
  <c r="S303" i="1"/>
  <c r="S657" i="1"/>
  <c r="S740" i="1"/>
  <c r="S186" i="1"/>
  <c r="S195" i="1"/>
  <c r="S277" i="1"/>
  <c r="S445" i="1"/>
  <c r="S566" i="1"/>
  <c r="S684" i="1"/>
  <c r="S127" i="1"/>
  <c r="S164" i="1"/>
  <c r="S207" i="1"/>
  <c r="S251" i="1"/>
  <c r="S281" i="1"/>
  <c r="S539" i="1"/>
  <c r="S591" i="1"/>
  <c r="S265" i="1"/>
  <c r="S557" i="1"/>
  <c r="S691" i="1"/>
  <c r="S633" i="1"/>
  <c r="S649" i="1"/>
  <c r="S637" i="1"/>
  <c r="S32" i="1"/>
  <c r="S49" i="1"/>
  <c r="S741" i="1" s="1"/>
  <c r="S142" i="1"/>
  <c r="S151" i="1"/>
  <c r="S257" i="1"/>
  <c r="S271" i="1"/>
  <c r="S62" i="1"/>
  <c r="S226" i="1"/>
  <c r="S298" i="1"/>
  <c r="S461" i="1"/>
  <c r="S623" i="1"/>
  <c r="S605" i="1"/>
  <c r="S441" i="1"/>
  <c r="S528" i="1"/>
  <c r="S561" i="1"/>
  <c r="S571" i="1"/>
  <c r="S665" i="1"/>
  <c r="H641" i="1"/>
  <c r="H561" i="1"/>
  <c r="H528" i="1"/>
  <c r="H694" i="1"/>
  <c r="H649" i="1"/>
  <c r="H623" i="1"/>
  <c r="H609" i="1"/>
  <c r="H701" i="1"/>
  <c r="H714" i="1"/>
  <c r="H740" i="1"/>
  <c r="H708" i="1"/>
  <c r="H691" i="1"/>
  <c r="H684" i="1"/>
  <c r="H665" i="1"/>
  <c r="H628" i="1"/>
  <c r="H591" i="1"/>
  <c r="H633" i="1"/>
  <c r="H557" i="1"/>
  <c r="H461" i="1"/>
  <c r="H445" i="1"/>
  <c r="H571" i="1"/>
  <c r="H475" i="1"/>
  <c r="H566" i="1"/>
  <c r="H539" i="1"/>
  <c r="H441" i="1"/>
  <c r="H429" i="1"/>
  <c r="H741" i="1" l="1"/>
  <c r="I157" i="1" l="1"/>
  <c r="I106" i="1"/>
  <c r="I69" i="1"/>
  <c r="I72" i="1"/>
  <c r="I378" i="1"/>
  <c r="I250" i="1"/>
  <c r="I148" i="1"/>
  <c r="I116" i="1"/>
  <c r="I124" i="1"/>
  <c r="I34" i="1"/>
  <c r="I362" i="1"/>
  <c r="I330" i="1"/>
  <c r="I82" i="1"/>
  <c r="I346" i="1"/>
  <c r="I218" i="1"/>
  <c r="I22" i="1"/>
  <c r="I86" i="1"/>
  <c r="I14" i="1"/>
  <c r="I78" i="1"/>
  <c r="I55" i="1"/>
  <c r="I158" i="1"/>
  <c r="I390" i="1"/>
  <c r="I23" i="1"/>
  <c r="I60" i="1"/>
  <c r="I168" i="1"/>
  <c r="I213" i="1"/>
  <c r="I246" i="1"/>
  <c r="I290" i="1"/>
  <c r="I102" i="1"/>
  <c r="I382" i="1"/>
  <c r="I71" i="1"/>
  <c r="I150" i="1"/>
  <c r="I247" i="1"/>
  <c r="I283" i="1"/>
  <c r="I318" i="1"/>
  <c r="I338" i="1"/>
  <c r="I356" i="1"/>
  <c r="I372" i="1"/>
  <c r="I388" i="1"/>
  <c r="I59" i="1"/>
  <c r="I358" i="1"/>
  <c r="I12" i="1"/>
  <c r="I57" i="1"/>
  <c r="I126" i="1"/>
  <c r="I206" i="1"/>
  <c r="I295" i="1"/>
  <c r="I25" i="1"/>
  <c r="I79" i="1"/>
  <c r="I91" i="1"/>
  <c r="I166" i="1"/>
  <c r="I230" i="1"/>
  <c r="I270" i="1"/>
  <c r="I193" i="1"/>
  <c r="I239" i="1"/>
  <c r="I264" i="1"/>
  <c r="I292" i="1"/>
  <c r="I315" i="1"/>
  <c r="I331" i="1"/>
  <c r="I349" i="1"/>
  <c r="I365" i="1"/>
  <c r="I381" i="1"/>
  <c r="I141" i="1"/>
  <c r="I183" i="1"/>
  <c r="I209" i="1"/>
  <c r="I232" i="1"/>
  <c r="I261" i="1"/>
  <c r="I273" i="1"/>
  <c r="I289" i="1"/>
  <c r="I305" i="1"/>
  <c r="I324" i="1"/>
  <c r="I340" i="1"/>
  <c r="I135" i="1"/>
  <c r="I321" i="1"/>
  <c r="I337" i="1"/>
  <c r="I355" i="1"/>
  <c r="I371" i="1"/>
  <c r="I387" i="1"/>
  <c r="I35" i="1"/>
  <c r="I37" i="1"/>
  <c r="I374" i="1"/>
  <c r="I125" i="1"/>
  <c r="I242" i="1"/>
  <c r="I144" i="1"/>
  <c r="I120" i="1"/>
  <c r="I334" i="1"/>
  <c r="I368" i="1"/>
  <c r="I44" i="1"/>
  <c r="I40" i="1"/>
  <c r="I198" i="1"/>
  <c r="I287" i="1"/>
  <c r="I73" i="1"/>
  <c r="I260" i="1"/>
  <c r="I327" i="1"/>
  <c r="I30" i="1"/>
  <c r="I18" i="1"/>
  <c r="I26" i="1"/>
  <c r="I140" i="1"/>
  <c r="I194" i="1"/>
  <c r="I11" i="1"/>
  <c r="I27" i="1"/>
  <c r="I45" i="1"/>
  <c r="I67" i="1"/>
  <c r="I111" i="1"/>
  <c r="I139" i="1"/>
  <c r="I180" i="1"/>
  <c r="I262" i="1"/>
  <c r="I294" i="1"/>
  <c r="I48" i="1"/>
  <c r="I221" i="1"/>
  <c r="I16" i="1"/>
  <c r="I103" i="1"/>
  <c r="I263" i="1"/>
  <c r="I291" i="1"/>
  <c r="I322" i="1"/>
  <c r="I344" i="1"/>
  <c r="I360" i="1"/>
  <c r="I376" i="1"/>
  <c r="I392" i="1"/>
  <c r="I185" i="1"/>
  <c r="I370" i="1"/>
  <c r="I20" i="1"/>
  <c r="I61" i="1"/>
  <c r="I146" i="1"/>
  <c r="I243" i="1"/>
  <c r="I259" i="1"/>
  <c r="I13" i="1"/>
  <c r="I29" i="1"/>
  <c r="I104" i="1"/>
  <c r="I173" i="1"/>
  <c r="I302" i="1"/>
  <c r="I201" i="1"/>
  <c r="I244" i="1"/>
  <c r="I276" i="1"/>
  <c r="I296" i="1"/>
  <c r="I319" i="1"/>
  <c r="I335" i="1"/>
  <c r="I353" i="1"/>
  <c r="I369" i="1"/>
  <c r="I385" i="1"/>
  <c r="I115" i="1"/>
  <c r="I147" i="1"/>
  <c r="I189" i="1"/>
  <c r="I245" i="1"/>
  <c r="I293" i="1"/>
  <c r="I312" i="1"/>
  <c r="I328" i="1"/>
  <c r="I184" i="1"/>
  <c r="I204" i="1"/>
  <c r="I256" i="1"/>
  <c r="I300" i="1"/>
  <c r="I325" i="1"/>
  <c r="I343" i="1"/>
  <c r="I359" i="1"/>
  <c r="I375" i="1"/>
  <c r="I391" i="1"/>
  <c r="I46" i="1"/>
  <c r="I87" i="1"/>
  <c r="I205" i="1"/>
  <c r="I70" i="1"/>
  <c r="I53" i="1"/>
  <c r="I210" i="1"/>
  <c r="I112" i="1"/>
  <c r="I253" i="1"/>
  <c r="I47" i="1"/>
  <c r="I167" i="1"/>
  <c r="I66" i="1"/>
  <c r="I58" i="1"/>
  <c r="I54" i="1"/>
  <c r="I314" i="1"/>
  <c r="I95" i="1"/>
  <c r="I354" i="1"/>
  <c r="I15" i="1"/>
  <c r="I31" i="1"/>
  <c r="I52" i="1"/>
  <c r="I81" i="1"/>
  <c r="I117" i="1"/>
  <c r="I145" i="1"/>
  <c r="I222" i="1"/>
  <c r="I274" i="1"/>
  <c r="I306" i="1"/>
  <c r="I80" i="1"/>
  <c r="I350" i="1"/>
  <c r="I24" i="1"/>
  <c r="I192" i="1"/>
  <c r="I275" i="1"/>
  <c r="I301" i="1"/>
  <c r="I326" i="1"/>
  <c r="I348" i="1"/>
  <c r="I364" i="1"/>
  <c r="I380" i="1"/>
  <c r="I172" i="1"/>
  <c r="I386" i="1"/>
  <c r="I28" i="1"/>
  <c r="I88" i="1"/>
  <c r="I163" i="1"/>
  <c r="I269" i="1"/>
  <c r="I17" i="1"/>
  <c r="I65" i="1"/>
  <c r="I85" i="1"/>
  <c r="I136" i="1"/>
  <c r="I224" i="1"/>
  <c r="I238" i="1"/>
  <c r="I225" i="1"/>
  <c r="I248" i="1"/>
  <c r="I284" i="1"/>
  <c r="I323" i="1"/>
  <c r="I339" i="1"/>
  <c r="I357" i="1"/>
  <c r="I373" i="1"/>
  <c r="I389" i="1"/>
  <c r="I155" i="1"/>
  <c r="I217" i="1"/>
  <c r="I249" i="1"/>
  <c r="I279" i="1"/>
  <c r="I297" i="1"/>
  <c r="I316" i="1"/>
  <c r="I332" i="1"/>
  <c r="I229" i="1"/>
  <c r="I268" i="1"/>
  <c r="I313" i="1"/>
  <c r="I329" i="1"/>
  <c r="I347" i="1"/>
  <c r="I363" i="1"/>
  <c r="I379" i="1"/>
  <c r="I77" i="1"/>
  <c r="I74" i="1"/>
  <c r="I19" i="1"/>
  <c r="I56" i="1"/>
  <c r="I149" i="1"/>
  <c r="I286" i="1"/>
  <c r="I366" i="1"/>
  <c r="I223" i="1"/>
  <c r="I307" i="1"/>
  <c r="I352" i="1"/>
  <c r="I384" i="1"/>
  <c r="I21" i="1"/>
  <c r="I254" i="1"/>
  <c r="I231" i="1"/>
  <c r="I288" i="1"/>
  <c r="I361" i="1"/>
  <c r="I171" i="1"/>
  <c r="I367" i="1"/>
  <c r="I255" i="1"/>
  <c r="I280" i="1"/>
  <c r="I377" i="1"/>
  <c r="I123" i="1"/>
  <c r="I320" i="1"/>
  <c r="I107" i="1"/>
  <c r="I233" i="1"/>
  <c r="I317" i="1"/>
  <c r="I383" i="1"/>
  <c r="I285" i="1"/>
  <c r="I351" i="1"/>
  <c r="I311" i="1"/>
  <c r="I134" i="1"/>
  <c r="I176" i="1"/>
  <c r="I228" i="1"/>
  <c r="I336" i="1"/>
  <c r="I333" i="1"/>
  <c r="I162" i="1"/>
  <c r="I345" i="1"/>
  <c r="I197" i="1"/>
  <c r="I105" i="1"/>
  <c r="I62" i="1"/>
  <c r="I251" i="1"/>
  <c r="I96" i="1"/>
  <c r="I89" i="1"/>
  <c r="I281" i="1"/>
  <c r="I169" i="1"/>
  <c r="I257" i="1"/>
  <c r="I127" i="1"/>
  <c r="I190" i="1"/>
  <c r="I211" i="1"/>
  <c r="I142" i="1"/>
  <c r="I118" i="1"/>
  <c r="I303" i="1"/>
  <c r="I214" i="1"/>
  <c r="I240" i="1"/>
  <c r="I83" i="1"/>
  <c r="I181" i="1"/>
  <c r="I41" i="1"/>
  <c r="I202" i="1"/>
  <c r="I159" i="1"/>
  <c r="I308" i="1"/>
  <c r="I49" i="1"/>
  <c r="I265" i="1"/>
  <c r="I207" i="1"/>
  <c r="I234" i="1"/>
  <c r="I68" i="1"/>
  <c r="I271" i="1"/>
  <c r="I298" i="1"/>
  <c r="I186" i="1"/>
  <c r="I341" i="1"/>
  <c r="I156" i="1"/>
  <c r="I92" i="1"/>
  <c r="I226" i="1"/>
  <c r="I177" i="1"/>
  <c r="I38" i="1"/>
  <c r="I195" i="1"/>
  <c r="I219" i="1"/>
  <c r="I151" i="1"/>
  <c r="I121" i="1"/>
  <c r="I164" i="1"/>
  <c r="I108" i="1"/>
  <c r="I32" i="1"/>
  <c r="I277" i="1"/>
  <c r="I431" i="1"/>
  <c r="I411" i="1"/>
  <c r="I415" i="1"/>
  <c r="I419" i="1"/>
  <c r="I423" i="1"/>
  <c r="I427" i="1"/>
  <c r="I541" i="1"/>
  <c r="I545" i="1"/>
  <c r="I549" i="1"/>
  <c r="I563" i="1"/>
  <c r="I394" i="1"/>
  <c r="I401" i="1"/>
  <c r="I405" i="1"/>
  <c r="I448" i="1"/>
  <c r="I480" i="1"/>
  <c r="I484" i="1"/>
  <c r="I455" i="1"/>
  <c r="I467" i="1"/>
  <c r="I487" i="1"/>
  <c r="I503" i="1"/>
  <c r="I519" i="1"/>
  <c r="I581" i="1"/>
  <c r="I585" i="1"/>
  <c r="I589" i="1"/>
  <c r="I630" i="1"/>
  <c r="I741" i="1"/>
  <c r="I451" i="1"/>
  <c r="I452" i="1"/>
  <c r="I463" i="1"/>
  <c r="I464" i="1"/>
  <c r="I499" i="1"/>
  <c r="I500" i="1"/>
  <c r="I515" i="1"/>
  <c r="I532" i="1"/>
  <c r="I537" i="1"/>
  <c r="I596" i="1"/>
  <c r="I604" i="1"/>
  <c r="I620" i="1"/>
  <c r="I644" i="1"/>
  <c r="I646" i="1"/>
  <c r="I648" i="1"/>
  <c r="I654" i="1"/>
  <c r="I662" i="1"/>
  <c r="I673" i="1"/>
  <c r="I433" i="1"/>
  <c r="I434" i="1"/>
  <c r="I516" i="1"/>
  <c r="I533" i="1"/>
  <c r="I536" i="1"/>
  <c r="I568" i="1"/>
  <c r="I569" i="1"/>
  <c r="I593" i="1"/>
  <c r="I599" i="1"/>
  <c r="I616" i="1"/>
  <c r="I659" i="1"/>
  <c r="I664" i="1"/>
  <c r="I669" i="1"/>
  <c r="I683" i="1"/>
  <c r="I689" i="1"/>
  <c r="I437" i="1"/>
  <c r="I438" i="1"/>
  <c r="I601" i="1"/>
  <c r="I636" i="1"/>
  <c r="I637" i="1"/>
  <c r="I652" i="1"/>
  <c r="I726" i="1"/>
  <c r="I728" i="1"/>
  <c r="I730" i="1"/>
  <c r="I732" i="1"/>
  <c r="I734" i="1"/>
  <c r="I736" i="1"/>
  <c r="I705" i="1"/>
  <c r="I523" i="1"/>
  <c r="I663" i="1"/>
  <c r="I680" i="1"/>
  <c r="I553" i="1"/>
  <c r="I678" i="1"/>
  <c r="I459" i="1"/>
  <c r="I471" i="1"/>
  <c r="I495" i="1"/>
  <c r="I496" i="1"/>
  <c r="I511" i="1"/>
  <c r="I512" i="1"/>
  <c r="I527" i="1"/>
  <c r="I607" i="1"/>
  <c r="I613" i="1"/>
  <c r="I614" i="1"/>
  <c r="I632" i="1"/>
  <c r="I645" i="1"/>
  <c r="I660" i="1"/>
  <c r="I670" i="1"/>
  <c r="I671" i="1"/>
  <c r="I690" i="1"/>
  <c r="I704" i="1"/>
  <c r="I507" i="1"/>
  <c r="I508" i="1"/>
  <c r="I524" i="1"/>
  <c r="I576" i="1"/>
  <c r="I729" i="1"/>
  <c r="I731" i="1"/>
  <c r="I733" i="1"/>
  <c r="I735" i="1"/>
  <c r="I738" i="1"/>
  <c r="I573" i="1"/>
  <c r="I698" i="1"/>
  <c r="I491" i="1"/>
  <c r="I492" i="1"/>
  <c r="I655" i="1"/>
  <c r="I656" i="1"/>
  <c r="I681" i="1"/>
  <c r="I727" i="1"/>
  <c r="I554" i="1"/>
  <c r="I555" i="1"/>
  <c r="I574" i="1"/>
  <c r="I667" i="1"/>
  <c r="I674" i="1"/>
  <c r="I697" i="1"/>
  <c r="I618" i="1"/>
  <c r="I687" i="1"/>
  <c r="I657" i="1"/>
  <c r="I617" i="1"/>
  <c r="I713" i="1"/>
  <c r="I456" i="1"/>
  <c r="I586" i="1"/>
  <c r="I723" i="1"/>
  <c r="I522" i="1"/>
  <c r="I612" i="1"/>
  <c r="I560" i="1"/>
  <c r="I509" i="1"/>
  <c r="I469" i="1"/>
  <c r="I700" i="1"/>
  <c r="I426" i="1"/>
  <c r="I682" i="1"/>
  <c r="I468" i="1"/>
  <c r="I717" i="1"/>
  <c r="I675" i="1"/>
  <c r="I543" i="1"/>
  <c r="I421" i="1"/>
  <c r="I546" i="1"/>
  <c r="I417" i="1"/>
  <c r="I449" i="1"/>
  <c r="I635" i="1"/>
  <c r="I597" i="1"/>
  <c r="I518" i="1"/>
  <c r="I486" i="1"/>
  <c r="I465" i="1"/>
  <c r="I444" i="1"/>
  <c r="I408" i="1"/>
  <c r="I535" i="1"/>
  <c r="I435" i="1"/>
  <c r="I482" i="1"/>
  <c r="I404" i="1"/>
  <c r="I397" i="1"/>
  <c r="I647" i="1"/>
  <c r="I640" i="1"/>
  <c r="I504" i="1"/>
  <c r="I621" i="1"/>
  <c r="I521" i="1"/>
  <c r="I550" i="1"/>
  <c r="I477" i="1"/>
  <c r="I676" i="1"/>
  <c r="I489" i="1"/>
  <c r="I661" i="1"/>
  <c r="I611" i="1"/>
  <c r="I590" i="1"/>
  <c r="I526" i="1"/>
  <c r="I494" i="1"/>
  <c r="I458" i="1"/>
  <c r="I409" i="1"/>
  <c r="I577" i="1"/>
  <c r="I739" i="1"/>
  <c r="I710" i="1"/>
  <c r="I688" i="1"/>
  <c r="I668" i="1"/>
  <c r="I627" i="1"/>
  <c r="I584" i="1"/>
  <c r="I474" i="1"/>
  <c r="I398" i="1"/>
  <c r="I514" i="1"/>
  <c r="I412" i="1"/>
  <c r="I513" i="1"/>
  <c r="I619" i="1"/>
  <c r="I594" i="1"/>
  <c r="I548" i="1"/>
  <c r="I517" i="1"/>
  <c r="I485" i="1"/>
  <c r="I424" i="1"/>
  <c r="I402" i="1"/>
  <c r="I534" i="1"/>
  <c r="I440" i="1"/>
  <c r="I479" i="1"/>
  <c r="I403" i="1"/>
  <c r="I396" i="1"/>
  <c r="I711" i="1"/>
  <c r="I395" i="1"/>
  <c r="I490" i="1"/>
  <c r="I488" i="1"/>
  <c r="I580" i="1"/>
  <c r="I470" i="1"/>
  <c r="I556" i="1"/>
  <c r="I505" i="1"/>
  <c r="I721" i="1"/>
  <c r="I544" i="1"/>
  <c r="I450" i="1"/>
  <c r="I603" i="1"/>
  <c r="I542" i="1"/>
  <c r="I466" i="1"/>
  <c r="I413" i="1"/>
  <c r="I538" i="1"/>
  <c r="I530" i="1"/>
  <c r="I436" i="1"/>
  <c r="I460" i="1"/>
  <c r="I399" i="1"/>
  <c r="I472" i="1"/>
  <c r="I722" i="1"/>
  <c r="I420" i="1"/>
  <c r="I588" i="1"/>
  <c r="I506" i="1"/>
  <c r="I520" i="1"/>
  <c r="I425" i="1"/>
  <c r="I587" i="1"/>
  <c r="I724" i="1"/>
  <c r="I653" i="1"/>
  <c r="I582" i="1"/>
  <c r="I525" i="1"/>
  <c r="I493" i="1"/>
  <c r="I457" i="1"/>
  <c r="I605" i="1"/>
  <c r="I407" i="1"/>
  <c r="I564" i="1"/>
  <c r="I737" i="1"/>
  <c r="I725" i="1"/>
  <c r="I707" i="1"/>
  <c r="I679" i="1"/>
  <c r="I602" i="1"/>
  <c r="I583" i="1"/>
  <c r="I473" i="1"/>
  <c r="I631" i="1"/>
  <c r="I497" i="1"/>
  <c r="I416" i="1"/>
  <c r="I498" i="1"/>
  <c r="I615" i="1"/>
  <c r="I575" i="1"/>
  <c r="I547" i="1"/>
  <c r="I502" i="1"/>
  <c r="I481" i="1"/>
  <c r="I454" i="1"/>
  <c r="I414" i="1"/>
  <c r="I531" i="1"/>
  <c r="I439" i="1"/>
  <c r="I428" i="1"/>
  <c r="I478" i="1"/>
  <c r="I400" i="1"/>
  <c r="I716" i="1"/>
  <c r="I626" i="1"/>
  <c r="I559" i="1"/>
  <c r="I622" i="1"/>
  <c r="I410" i="1"/>
  <c r="I693" i="1"/>
  <c r="I608" i="1"/>
  <c r="I565" i="1"/>
  <c r="I510" i="1"/>
  <c r="I718" i="1"/>
  <c r="I719" i="1"/>
  <c r="I720" i="1"/>
  <c r="I600" i="1"/>
  <c r="I422" i="1"/>
  <c r="I418" i="1"/>
  <c r="I406" i="1"/>
  <c r="I443" i="1"/>
  <c r="I570" i="1"/>
  <c r="I501" i="1"/>
  <c r="I453" i="1"/>
  <c r="I483" i="1"/>
  <c r="I393" i="1"/>
  <c r="I441" i="1"/>
  <c r="I641" i="1"/>
  <c r="I566" i="1"/>
  <c r="I591" i="1"/>
  <c r="I475" i="1"/>
  <c r="I445" i="1"/>
  <c r="I557" i="1"/>
  <c r="I528" i="1"/>
  <c r="I691" i="1"/>
  <c r="I571" i="1"/>
  <c r="I740" i="1"/>
  <c r="I649" i="1"/>
  <c r="I623" i="1"/>
  <c r="I429" i="1"/>
  <c r="I609" i="1"/>
  <c r="I701" i="1"/>
  <c r="I633" i="1"/>
  <c r="I561" i="1"/>
  <c r="I714" i="1"/>
  <c r="I694" i="1"/>
  <c r="I628" i="1"/>
  <c r="I539" i="1"/>
  <c r="I461" i="1"/>
  <c r="I684" i="1"/>
  <c r="I665" i="1"/>
  <c r="I708" i="1"/>
  <c r="R756" i="2" l="1"/>
  <c r="S756" i="2"/>
  <c r="R757" i="2"/>
  <c r="S757" i="2"/>
  <c r="Q287" i="2"/>
  <c r="S287" i="2"/>
  <c r="Q285" i="2"/>
  <c r="S285" i="2"/>
  <c r="Q281" i="2"/>
  <c r="S281" i="2" s="1"/>
  <c r="I25" i="23"/>
  <c r="J25" i="23" s="1"/>
  <c r="I24" i="23"/>
  <c r="J24" i="23" s="1"/>
  <c r="I23" i="23"/>
  <c r="J23" i="23" s="1"/>
  <c r="I22" i="23"/>
  <c r="J22" i="23" s="1"/>
  <c r="I21" i="23"/>
  <c r="J21" i="23" s="1"/>
  <c r="I20" i="23"/>
  <c r="J20" i="23" s="1"/>
  <c r="I19" i="23"/>
  <c r="J19" i="23" s="1"/>
  <c r="I18" i="23"/>
  <c r="J18" i="23" s="1"/>
  <c r="I17" i="23"/>
  <c r="J17" i="23" s="1"/>
  <c r="I16" i="23"/>
  <c r="J16" i="23" s="1"/>
  <c r="I13" i="23"/>
  <c r="J13" i="23" s="1"/>
  <c r="I12" i="23"/>
  <c r="J12" i="23" s="1"/>
  <c r="I11" i="23"/>
  <c r="J11" i="23" s="1"/>
  <c r="I10" i="23"/>
  <c r="J10" i="23" s="1"/>
  <c r="I9" i="23"/>
  <c r="J9" i="23" s="1"/>
  <c r="J14" i="23" s="1"/>
  <c r="C30" i="23" s="1"/>
  <c r="M654" i="2"/>
  <c r="S349" i="2"/>
  <c r="Q349" i="2"/>
  <c r="S316" i="2"/>
  <c r="Q316" i="2"/>
  <c r="S312" i="2"/>
  <c r="Q312" i="2"/>
  <c r="S282" i="2"/>
  <c r="Q282" i="2"/>
  <c r="Q252" i="2"/>
  <c r="S252" i="2"/>
  <c r="J26" i="23" l="1"/>
  <c r="C31" i="23" s="1"/>
  <c r="C35" i="23"/>
  <c r="C34" i="23"/>
  <c r="S123" i="2"/>
  <c r="Q123" i="2"/>
  <c r="C36" i="23" l="1"/>
  <c r="C37" i="23"/>
  <c r="B38" i="23" s="1"/>
  <c r="O785" i="2" l="1"/>
  <c r="O786" i="2"/>
  <c r="O787" i="2"/>
  <c r="S787" i="2" s="1"/>
  <c r="O788" i="2"/>
  <c r="O784" i="2"/>
  <c r="S784" i="2" s="1"/>
  <c r="O773" i="2"/>
  <c r="S773" i="2" s="1"/>
  <c r="O774" i="2"/>
  <c r="O775" i="2"/>
  <c r="O776" i="2"/>
  <c r="S776" i="2" s="1"/>
  <c r="O777" i="2"/>
  <c r="R777" i="2" s="1"/>
  <c r="O778" i="2"/>
  <c r="R778" i="2" s="1"/>
  <c r="O779" i="2"/>
  <c r="S779" i="2" s="1"/>
  <c r="O780" i="2"/>
  <c r="R780" i="2" s="1"/>
  <c r="O781" i="2"/>
  <c r="S781" i="2" s="1"/>
  <c r="O782" i="2"/>
  <c r="S782" i="2" s="1"/>
  <c r="O772" i="2"/>
  <c r="S772" i="2" s="1"/>
  <c r="O760" i="2"/>
  <c r="O761" i="2"/>
  <c r="O762" i="2"/>
  <c r="R762" i="2" s="1"/>
  <c r="O763" i="2"/>
  <c r="S763" i="2" s="1"/>
  <c r="O764" i="2"/>
  <c r="S764" i="2" s="1"/>
  <c r="O765" i="2"/>
  <c r="R765" i="2" s="1"/>
  <c r="O766" i="2"/>
  <c r="S766" i="2" s="1"/>
  <c r="O767" i="2"/>
  <c r="S767" i="2" s="1"/>
  <c r="O768" i="2"/>
  <c r="S768" i="2" s="1"/>
  <c r="O769" i="2"/>
  <c r="S769" i="2" s="1"/>
  <c r="O770" i="2"/>
  <c r="S770" i="2" s="1"/>
  <c r="O759" i="2"/>
  <c r="S759" i="2" s="1"/>
  <c r="E12" i="22"/>
  <c r="D12" i="22"/>
  <c r="C12" i="22"/>
  <c r="B12" i="22"/>
  <c r="B16" i="21"/>
  <c r="B15" i="21"/>
  <c r="A15" i="21"/>
  <c r="A12" i="21"/>
  <c r="C12" i="21" s="1"/>
  <c r="I16" i="20"/>
  <c r="J16" i="20" s="1"/>
  <c r="I15" i="20"/>
  <c r="J15" i="20" s="1"/>
  <c r="J12" i="20"/>
  <c r="J11" i="20"/>
  <c r="J10" i="20"/>
  <c r="J13" i="20" s="1"/>
  <c r="C21" i="20" s="1"/>
  <c r="J9" i="20"/>
  <c r="I10" i="19"/>
  <c r="J10" i="19" s="1"/>
  <c r="J9" i="19"/>
  <c r="J11" i="19" s="1"/>
  <c r="C15" i="19" s="1"/>
  <c r="I9" i="19"/>
  <c r="I13" i="18"/>
  <c r="J13" i="18" s="1"/>
  <c r="J14" i="18" s="1"/>
  <c r="C19" i="18" s="1"/>
  <c r="I10" i="18"/>
  <c r="J10" i="18" s="1"/>
  <c r="I9" i="18"/>
  <c r="J9" i="18" s="1"/>
  <c r="I15" i="16"/>
  <c r="J15" i="16" s="1"/>
  <c r="I14" i="16"/>
  <c r="J14" i="16" s="1"/>
  <c r="I13" i="16"/>
  <c r="J13" i="16" s="1"/>
  <c r="I10" i="16"/>
  <c r="J10" i="16" s="1"/>
  <c r="I9" i="16"/>
  <c r="J9" i="16" s="1"/>
  <c r="I25" i="15"/>
  <c r="J25" i="15" s="1"/>
  <c r="I24" i="15"/>
  <c r="J24" i="15" s="1"/>
  <c r="I23" i="15"/>
  <c r="J23" i="15" s="1"/>
  <c r="I22" i="15"/>
  <c r="J22" i="15" s="1"/>
  <c r="I21" i="15"/>
  <c r="J21" i="15" s="1"/>
  <c r="I20" i="15"/>
  <c r="J20" i="15" s="1"/>
  <c r="I19" i="15"/>
  <c r="J19" i="15" s="1"/>
  <c r="J18" i="15"/>
  <c r="I18" i="15"/>
  <c r="I17" i="15"/>
  <c r="J17" i="15" s="1"/>
  <c r="I16" i="15"/>
  <c r="J16" i="15" s="1"/>
  <c r="I13" i="15"/>
  <c r="J13" i="15" s="1"/>
  <c r="I12" i="15"/>
  <c r="J12" i="15" s="1"/>
  <c r="I11" i="15"/>
  <c r="J11" i="15" s="1"/>
  <c r="I10" i="15"/>
  <c r="J10" i="15" s="1"/>
  <c r="I9" i="15"/>
  <c r="J9" i="15" s="1"/>
  <c r="I19" i="14"/>
  <c r="J19" i="14" s="1"/>
  <c r="J20" i="14" s="1"/>
  <c r="C26" i="14" s="1"/>
  <c r="I15" i="14"/>
  <c r="J15" i="14" s="1"/>
  <c r="I14" i="14"/>
  <c r="J14" i="14" s="1"/>
  <c r="I13" i="14"/>
  <c r="J13" i="14" s="1"/>
  <c r="J10" i="14"/>
  <c r="J9" i="14"/>
  <c r="J11" i="14" s="1"/>
  <c r="C24" i="14" s="1"/>
  <c r="J15" i="13"/>
  <c r="L15" i="13" s="1"/>
  <c r="J14" i="13"/>
  <c r="L14" i="13" s="1"/>
  <c r="L16" i="13" s="1"/>
  <c r="D21" i="13" s="1"/>
  <c r="J11" i="13"/>
  <c r="L11" i="13" s="1"/>
  <c r="J10" i="13"/>
  <c r="L10" i="13" s="1"/>
  <c r="J15" i="12"/>
  <c r="L15" i="12" s="1"/>
  <c r="J14" i="12"/>
  <c r="L14" i="12" s="1"/>
  <c r="J11" i="12"/>
  <c r="L11" i="12" s="1"/>
  <c r="J10" i="12"/>
  <c r="L10" i="12" s="1"/>
  <c r="J17" i="11"/>
  <c r="L17" i="11" s="1"/>
  <c r="J16" i="11"/>
  <c r="L16" i="11" s="1"/>
  <c r="J15" i="11"/>
  <c r="L15" i="11" s="1"/>
  <c r="J14" i="11"/>
  <c r="L14" i="11" s="1"/>
  <c r="L11" i="11"/>
  <c r="J11" i="11"/>
  <c r="J10" i="11"/>
  <c r="L10" i="11" s="1"/>
  <c r="L12" i="11" s="1"/>
  <c r="D22" i="11" s="1"/>
  <c r="J23" i="10"/>
  <c r="L23" i="10" s="1"/>
  <c r="J22" i="10"/>
  <c r="L22" i="10" s="1"/>
  <c r="J21" i="10"/>
  <c r="L21" i="10" s="1"/>
  <c r="L20" i="10"/>
  <c r="J19" i="10"/>
  <c r="L19" i="10" s="1"/>
  <c r="J18" i="10"/>
  <c r="L18" i="10" s="1"/>
  <c r="J17" i="10"/>
  <c r="L17" i="10" s="1"/>
  <c r="J16" i="10"/>
  <c r="L16" i="10" s="1"/>
  <c r="J15" i="10"/>
  <c r="L15" i="10" s="1"/>
  <c r="L14" i="10"/>
  <c r="J14" i="10"/>
  <c r="J11" i="10"/>
  <c r="L11" i="10" s="1"/>
  <c r="J10" i="10"/>
  <c r="L10" i="10" s="1"/>
  <c r="J19" i="9"/>
  <c r="K19" i="9" s="1"/>
  <c r="J18" i="9"/>
  <c r="K18" i="9" s="1"/>
  <c r="J17" i="9"/>
  <c r="K17" i="9" s="1"/>
  <c r="J16" i="9"/>
  <c r="K16" i="9" s="1"/>
  <c r="J15" i="9"/>
  <c r="K15" i="9" s="1"/>
  <c r="J14" i="9"/>
  <c r="K14" i="9" s="1"/>
  <c r="J11" i="9"/>
  <c r="K11" i="9" s="1"/>
  <c r="J10" i="9"/>
  <c r="K10" i="9" s="1"/>
  <c r="J18" i="8"/>
  <c r="K18" i="8" s="1"/>
  <c r="J17" i="8"/>
  <c r="K17" i="8" s="1"/>
  <c r="J16" i="8"/>
  <c r="K16" i="8" s="1"/>
  <c r="J15" i="8"/>
  <c r="K15" i="8" s="1"/>
  <c r="J12" i="8"/>
  <c r="K12" i="8" s="1"/>
  <c r="J11" i="8"/>
  <c r="K11" i="8" s="1"/>
  <c r="J10" i="8"/>
  <c r="K10" i="8" s="1"/>
  <c r="J15" i="7"/>
  <c r="K15" i="7" s="1"/>
  <c r="J14" i="7"/>
  <c r="K14" i="7" s="1"/>
  <c r="J11" i="7"/>
  <c r="K11" i="7" s="1"/>
  <c r="J10" i="7"/>
  <c r="K10" i="7" s="1"/>
  <c r="J14" i="6"/>
  <c r="K14" i="6" s="1"/>
  <c r="K15" i="6" s="1"/>
  <c r="D20" i="6" s="1"/>
  <c r="J11" i="6"/>
  <c r="K11" i="6" s="1"/>
  <c r="K10" i="6"/>
  <c r="J10" i="6"/>
  <c r="J17" i="5"/>
  <c r="K17" i="5" s="1"/>
  <c r="J16" i="5"/>
  <c r="K16" i="5" s="1"/>
  <c r="J15" i="5"/>
  <c r="K15" i="5" s="1"/>
  <c r="J14" i="5"/>
  <c r="K14" i="5" s="1"/>
  <c r="J11" i="5"/>
  <c r="K11" i="5" s="1"/>
  <c r="J10" i="5"/>
  <c r="K10" i="5" s="1"/>
  <c r="K12" i="5" s="1"/>
  <c r="D22" i="5" s="1"/>
  <c r="J21" i="4"/>
  <c r="K21" i="4" s="1"/>
  <c r="K22" i="4" s="1"/>
  <c r="D28" i="4" s="1"/>
  <c r="J17" i="4"/>
  <c r="K17" i="4" s="1"/>
  <c r="K16" i="4"/>
  <c r="J16" i="4"/>
  <c r="J15" i="4"/>
  <c r="K15" i="4" s="1"/>
  <c r="J12" i="4"/>
  <c r="K12" i="4" s="1"/>
  <c r="J11" i="4"/>
  <c r="K11" i="4" s="1"/>
  <c r="J10" i="4"/>
  <c r="K10" i="4" s="1"/>
  <c r="C5" i="4"/>
  <c r="J37" i="3"/>
  <c r="K37" i="3" s="1"/>
  <c r="K38" i="3" s="1"/>
  <c r="D44" i="3" s="1"/>
  <c r="J33" i="3"/>
  <c r="K33" i="3" s="1"/>
  <c r="J32" i="3"/>
  <c r="K32" i="3" s="1"/>
  <c r="J31" i="3"/>
  <c r="K31" i="3" s="1"/>
  <c r="J30" i="3"/>
  <c r="K30" i="3" s="1"/>
  <c r="J29" i="3"/>
  <c r="K29" i="3" s="1"/>
  <c r="J28" i="3"/>
  <c r="K28" i="3" s="1"/>
  <c r="J27" i="3"/>
  <c r="K27" i="3" s="1"/>
  <c r="J26" i="3"/>
  <c r="K26" i="3" s="1"/>
  <c r="J25" i="3"/>
  <c r="K25" i="3" s="1"/>
  <c r="J24" i="3"/>
  <c r="K24" i="3" s="1"/>
  <c r="J23" i="3"/>
  <c r="K23" i="3" s="1"/>
  <c r="J22" i="3"/>
  <c r="K22" i="3" s="1"/>
  <c r="J21" i="3"/>
  <c r="K21" i="3" s="1"/>
  <c r="J20" i="3"/>
  <c r="K20" i="3" s="1"/>
  <c r="J19" i="3"/>
  <c r="K19" i="3" s="1"/>
  <c r="J18" i="3"/>
  <c r="K18" i="3" s="1"/>
  <c r="J15" i="3"/>
  <c r="K15" i="3" s="1"/>
  <c r="J14" i="3"/>
  <c r="K14" i="3" s="1"/>
  <c r="J13" i="3"/>
  <c r="K13" i="3" s="1"/>
  <c r="J12" i="3"/>
  <c r="K12" i="3" s="1"/>
  <c r="J11" i="3"/>
  <c r="K11" i="3" s="1"/>
  <c r="J10" i="3"/>
  <c r="K10" i="3" s="1"/>
  <c r="F804" i="2"/>
  <c r="F803" i="2"/>
  <c r="F802" i="2"/>
  <c r="F801" i="2"/>
  <c r="F800" i="2"/>
  <c r="F799" i="2"/>
  <c r="F798" i="2"/>
  <c r="F797" i="2"/>
  <c r="F796" i="2"/>
  <c r="F795" i="2"/>
  <c r="F794" i="2"/>
  <c r="S755" i="2"/>
  <c r="R755" i="2"/>
  <c r="S754" i="2"/>
  <c r="R754" i="2"/>
  <c r="S753" i="2"/>
  <c r="R753" i="2"/>
  <c r="S752" i="2"/>
  <c r="R752" i="2"/>
  <c r="S751" i="2"/>
  <c r="R751" i="2"/>
  <c r="S750" i="2"/>
  <c r="R750" i="2"/>
  <c r="S749" i="2"/>
  <c r="R749" i="2"/>
  <c r="R748" i="2"/>
  <c r="S747" i="2"/>
  <c r="R747" i="2"/>
  <c r="S746" i="2"/>
  <c r="R746" i="2"/>
  <c r="M745" i="2"/>
  <c r="S745" i="2" s="1"/>
  <c r="S744" i="2"/>
  <c r="S743" i="2"/>
  <c r="R742" i="2"/>
  <c r="S742" i="2" s="1"/>
  <c r="R741" i="2"/>
  <c r="S741" i="2" s="1"/>
  <c r="R740" i="2"/>
  <c r="S740" i="2" s="1"/>
  <c r="R739" i="2"/>
  <c r="S739" i="2" s="1"/>
  <c r="R738" i="2"/>
  <c r="S738" i="2" s="1"/>
  <c r="R737" i="2"/>
  <c r="S737" i="2" s="1"/>
  <c r="S736" i="2"/>
  <c r="R736" i="2"/>
  <c r="R735" i="2"/>
  <c r="S735" i="2" s="1"/>
  <c r="R734" i="2"/>
  <c r="S734" i="2" s="1"/>
  <c r="R733" i="2"/>
  <c r="S733" i="2" s="1"/>
  <c r="M732" i="2"/>
  <c r="S732" i="2" s="1"/>
  <c r="R731" i="2"/>
  <c r="S731" i="2" s="1"/>
  <c r="R730" i="2"/>
  <c r="S730" i="2" s="1"/>
  <c r="R729" i="2"/>
  <c r="S729" i="2" s="1"/>
  <c r="R728" i="2"/>
  <c r="S728" i="2" s="1"/>
  <c r="R727" i="2"/>
  <c r="S727" i="2" s="1"/>
  <c r="R726" i="2"/>
  <c r="S726" i="2" s="1"/>
  <c r="R725" i="2"/>
  <c r="S725" i="2" s="1"/>
  <c r="R724" i="2"/>
  <c r="S724" i="2" s="1"/>
  <c r="R722" i="2"/>
  <c r="S722" i="2" s="1"/>
  <c r="R721" i="2"/>
  <c r="S721" i="2" s="1"/>
  <c r="R720" i="2"/>
  <c r="S720" i="2" s="1"/>
  <c r="U719" i="2"/>
  <c r="S719" i="2"/>
  <c r="R718" i="2"/>
  <c r="S718" i="2" s="1"/>
  <c r="R717" i="2"/>
  <c r="S717" i="2" s="1"/>
  <c r="R716" i="2"/>
  <c r="S716" i="2" s="1"/>
  <c r="R715" i="2"/>
  <c r="S715" i="2" s="1"/>
  <c r="S714" i="2"/>
  <c r="S713" i="2"/>
  <c r="S686" i="2"/>
  <c r="Q686" i="2"/>
  <c r="S685" i="2"/>
  <c r="Q685" i="2"/>
  <c r="Q679" i="2"/>
  <c r="M679" i="2"/>
  <c r="S679" i="2" s="1"/>
  <c r="S669" i="2"/>
  <c r="Q669" i="2"/>
  <c r="S664" i="2"/>
  <c r="Q664" i="2"/>
  <c r="S659" i="2"/>
  <c r="Q659" i="2"/>
  <c r="S658" i="2"/>
  <c r="Q658" i="2"/>
  <c r="S657" i="2"/>
  <c r="Q657" i="2"/>
  <c r="S656" i="2"/>
  <c r="Q656" i="2"/>
  <c r="S655" i="2"/>
  <c r="Q655" i="2"/>
  <c r="S654" i="2"/>
  <c r="Q654" i="2"/>
  <c r="S652" i="2"/>
  <c r="Q652" i="2"/>
  <c r="S651" i="2"/>
  <c r="Q651" i="2"/>
  <c r="S649" i="2"/>
  <c r="Q649" i="2"/>
  <c r="S647" i="2"/>
  <c r="Q647" i="2"/>
  <c r="Q640" i="2"/>
  <c r="M640" i="2"/>
  <c r="S640" i="2" s="1"/>
  <c r="S638" i="2"/>
  <c r="Q638" i="2"/>
  <c r="S636" i="2"/>
  <c r="S635" i="2"/>
  <c r="S632" i="2"/>
  <c r="Q632" i="2"/>
  <c r="S631" i="2"/>
  <c r="Q631" i="2"/>
  <c r="S627" i="2"/>
  <c r="Q627" i="2"/>
  <c r="S626" i="2"/>
  <c r="Q626" i="2"/>
  <c r="S625" i="2"/>
  <c r="Q625" i="2"/>
  <c r="S615" i="2"/>
  <c r="Q615" i="2"/>
  <c r="S614" i="2"/>
  <c r="Q614" i="2"/>
  <c r="S605" i="2"/>
  <c r="Q605" i="2"/>
  <c r="S602" i="2"/>
  <c r="Q602" i="2"/>
  <c r="S601" i="2"/>
  <c r="Q601" i="2"/>
  <c r="S496" i="2"/>
  <c r="Q431" i="2"/>
  <c r="S431" i="2" s="1"/>
  <c r="S412" i="2"/>
  <c r="S411" i="2"/>
  <c r="Q411" i="2"/>
  <c r="S410" i="2"/>
  <c r="S409" i="2"/>
  <c r="S408" i="2"/>
  <c r="S407" i="2"/>
  <c r="S406" i="2"/>
  <c r="Q406" i="2"/>
  <c r="S362" i="2"/>
  <c r="Q362" i="2"/>
  <c r="S325" i="2"/>
  <c r="Q325" i="2"/>
  <c r="S322" i="2"/>
  <c r="Q322" i="2"/>
  <c r="S318" i="2"/>
  <c r="Q318" i="2"/>
  <c r="S290" i="2"/>
  <c r="Q290" i="2"/>
  <c r="S288" i="2"/>
  <c r="Q288" i="2"/>
  <c r="S286" i="2"/>
  <c r="Q286" i="2"/>
  <c r="S284" i="2"/>
  <c r="Q284" i="2"/>
  <c r="Q280" i="2"/>
  <c r="S280" i="2" s="1"/>
  <c r="Q278" i="2"/>
  <c r="S278" i="2" s="1"/>
  <c r="S258" i="2"/>
  <c r="Q258" i="2"/>
  <c r="S256" i="2"/>
  <c r="Q256" i="2"/>
  <c r="S253" i="2"/>
  <c r="Q253" i="2"/>
  <c r="S251" i="2"/>
  <c r="Q251" i="2"/>
  <c r="S250" i="2"/>
  <c r="S249" i="2"/>
  <c r="S221" i="2"/>
  <c r="Q221" i="2"/>
  <c r="S192" i="2"/>
  <c r="S188" i="2"/>
  <c r="Q188" i="2"/>
  <c r="Q186" i="2"/>
  <c r="M186" i="2"/>
  <c r="S186" i="2" s="1"/>
  <c r="Q185" i="2"/>
  <c r="M185" i="2"/>
  <c r="S185" i="2" s="1"/>
  <c r="S184" i="2"/>
  <c r="S182" i="2"/>
  <c r="S180" i="2"/>
  <c r="Q180" i="2"/>
  <c r="S179" i="2"/>
  <c r="S177" i="2"/>
  <c r="Q177" i="2"/>
  <c r="Q173" i="2"/>
  <c r="S173" i="2"/>
  <c r="Q172" i="2"/>
  <c r="S172" i="2"/>
  <c r="S169" i="2"/>
  <c r="Q169" i="2"/>
  <c r="S168" i="2"/>
  <c r="Q168" i="2"/>
  <c r="Q166" i="2"/>
  <c r="M166" i="2"/>
  <c r="S166" i="2" s="1"/>
  <c r="S160" i="2"/>
  <c r="Q160" i="2"/>
  <c r="M159" i="2"/>
  <c r="S159" i="2" s="1"/>
  <c r="Q152" i="2"/>
  <c r="M152" i="2"/>
  <c r="S152" i="2" s="1"/>
  <c r="S151" i="2"/>
  <c r="S144" i="2"/>
  <c r="Q144" i="2"/>
  <c r="S137" i="2"/>
  <c r="Q137" i="2"/>
  <c r="Q135" i="2"/>
  <c r="M135" i="2"/>
  <c r="S135" i="2" s="1"/>
  <c r="S134" i="2"/>
  <c r="Q134" i="2"/>
  <c r="S127" i="2"/>
  <c r="Q127" i="2"/>
  <c r="S126" i="2"/>
  <c r="Q126" i="2"/>
  <c r="S125" i="2"/>
  <c r="Q125" i="2"/>
  <c r="S113" i="2"/>
  <c r="S112" i="2"/>
  <c r="S111" i="2"/>
  <c r="S110" i="2"/>
  <c r="S109" i="2"/>
  <c r="S108" i="2"/>
  <c r="Q108" i="2"/>
  <c r="S107" i="2"/>
  <c r="Q107" i="2"/>
  <c r="S106" i="2"/>
  <c r="S104" i="2"/>
  <c r="S96" i="2"/>
  <c r="Q96" i="2"/>
  <c r="S95" i="2"/>
  <c r="Q95" i="2"/>
  <c r="S89" i="2"/>
  <c r="Q89" i="2"/>
  <c r="S77" i="2"/>
  <c r="Q77" i="2"/>
  <c r="S75" i="2"/>
  <c r="Q75" i="2"/>
  <c r="S73" i="2"/>
  <c r="Q73" i="2"/>
  <c r="S71" i="2"/>
  <c r="Q71" i="2"/>
  <c r="S70" i="2"/>
  <c r="Q70" i="2"/>
  <c r="S67" i="2"/>
  <c r="S66" i="2"/>
  <c r="Q66" i="2"/>
  <c r="S65" i="2"/>
  <c r="S63" i="2"/>
  <c r="S62" i="2"/>
  <c r="Q62" i="2"/>
  <c r="S61" i="2"/>
  <c r="Q61" i="2"/>
  <c r="S60" i="2"/>
  <c r="Q60" i="2"/>
  <c r="Q57" i="2"/>
  <c r="S57" i="2"/>
  <c r="S55" i="2"/>
  <c r="Q55" i="2"/>
  <c r="Q53" i="2"/>
  <c r="S53" i="2"/>
  <c r="S51" i="2"/>
  <c r="Q51" i="2"/>
  <c r="Q50" i="2"/>
  <c r="M50" i="2"/>
  <c r="S50" i="2" s="1"/>
  <c r="S34" i="2"/>
  <c r="S30" i="2"/>
  <c r="Q30" i="2"/>
  <c r="S29" i="2"/>
  <c r="Q29" i="2"/>
  <c r="S26" i="2"/>
  <c r="Q26" i="2"/>
  <c r="Q22" i="2"/>
  <c r="M22" i="2"/>
  <c r="S22" i="2" s="1"/>
  <c r="S20" i="2"/>
  <c r="Q20" i="2"/>
  <c r="Q15" i="2"/>
  <c r="M15" i="2"/>
  <c r="S15" i="2" s="1"/>
  <c r="Q11" i="2"/>
  <c r="M11" i="2"/>
  <c r="S11" i="2" s="1"/>
  <c r="Q10" i="2"/>
  <c r="S10" i="2"/>
  <c r="S8" i="2"/>
  <c r="Q8" i="2"/>
  <c r="Q7" i="2"/>
  <c r="S7" i="2"/>
  <c r="J17" i="20" l="1"/>
  <c r="C22" i="20" s="1"/>
  <c r="K12" i="6"/>
  <c r="D19" i="6" s="1"/>
  <c r="L12" i="10"/>
  <c r="D28" i="10" s="1"/>
  <c r="D33" i="10" s="1"/>
  <c r="L18" i="11"/>
  <c r="D23" i="11" s="1"/>
  <c r="J26" i="15"/>
  <c r="C31" i="15" s="1"/>
  <c r="J11" i="16"/>
  <c r="C20" i="16" s="1"/>
  <c r="J16" i="14"/>
  <c r="C25" i="14" s="1"/>
  <c r="J16" i="16"/>
  <c r="C21" i="16" s="1"/>
  <c r="K19" i="8"/>
  <c r="D24" i="8" s="1"/>
  <c r="K18" i="4"/>
  <c r="D27" i="4" s="1"/>
  <c r="L12" i="12"/>
  <c r="D20" i="12" s="1"/>
  <c r="D25" i="12" s="1"/>
  <c r="J11" i="18"/>
  <c r="C18" i="18" s="1"/>
  <c r="C23" i="18" s="1"/>
  <c r="C24" i="18" s="1"/>
  <c r="K16" i="7"/>
  <c r="D21" i="7" s="1"/>
  <c r="K12" i="9"/>
  <c r="D24" i="9" s="1"/>
  <c r="D29" i="9" s="1"/>
  <c r="K16" i="3"/>
  <c r="D42" i="3" s="1"/>
  <c r="D46" i="3" s="1"/>
  <c r="L12" i="13"/>
  <c r="D20" i="13" s="1"/>
  <c r="D25" i="13" s="1"/>
  <c r="D26" i="13" s="1"/>
  <c r="F805" i="2"/>
  <c r="R782" i="2"/>
  <c r="R772" i="2"/>
  <c r="R773" i="2"/>
  <c r="S778" i="2"/>
  <c r="R770" i="2"/>
  <c r="R769" i="2"/>
  <c r="S780" i="2"/>
  <c r="R781" i="2"/>
  <c r="R759" i="2"/>
  <c r="S762" i="2"/>
  <c r="R763" i="2"/>
  <c r="S765" i="2"/>
  <c r="R787" i="2"/>
  <c r="R776" i="2"/>
  <c r="S775" i="2"/>
  <c r="R775" i="2"/>
  <c r="R774" i="2"/>
  <c r="S774" i="2"/>
  <c r="S788" i="2"/>
  <c r="R788" i="2"/>
  <c r="S761" i="2"/>
  <c r="R761" i="2"/>
  <c r="S786" i="2"/>
  <c r="R786" i="2"/>
  <c r="S760" i="2"/>
  <c r="R760" i="2"/>
  <c r="R785" i="2"/>
  <c r="S785" i="2"/>
  <c r="S777" i="2"/>
  <c r="R784" i="2"/>
  <c r="R779" i="2"/>
  <c r="R766" i="2"/>
  <c r="R767" i="2"/>
  <c r="R768" i="2"/>
  <c r="R764" i="2"/>
  <c r="C26" i="20"/>
  <c r="C27" i="20" s="1"/>
  <c r="C25" i="20"/>
  <c r="D24" i="13"/>
  <c r="D24" i="12"/>
  <c r="D47" i="3"/>
  <c r="D27" i="11"/>
  <c r="D26" i="11"/>
  <c r="C25" i="16"/>
  <c r="C26" i="16" s="1"/>
  <c r="C24" i="16"/>
  <c r="C29" i="14"/>
  <c r="C30" i="14" s="1"/>
  <c r="C28" i="14"/>
  <c r="K34" i="3"/>
  <c r="D43" i="3" s="1"/>
  <c r="D24" i="6"/>
  <c r="D25" i="6" s="1"/>
  <c r="D23" i="6"/>
  <c r="S748" i="2"/>
  <c r="K13" i="4"/>
  <c r="D26" i="4" s="1"/>
  <c r="K18" i="5"/>
  <c r="D23" i="5" s="1"/>
  <c r="K13" i="8"/>
  <c r="D23" i="8" s="1"/>
  <c r="L16" i="12"/>
  <c r="D21" i="12" s="1"/>
  <c r="J14" i="15"/>
  <c r="C30" i="15" s="1"/>
  <c r="K12" i="7"/>
  <c r="D20" i="7" s="1"/>
  <c r="C19" i="19"/>
  <c r="C20" i="19"/>
  <c r="C21" i="19" s="1"/>
  <c r="D27" i="5"/>
  <c r="D26" i="5"/>
  <c r="K20" i="9"/>
  <c r="D25" i="9" s="1"/>
  <c r="L24" i="10"/>
  <c r="D29" i="10" s="1"/>
  <c r="B12" i="21"/>
  <c r="A17" i="21" s="1"/>
  <c r="D28" i="11" l="1"/>
  <c r="D34" i="10"/>
  <c r="D32" i="10"/>
  <c r="C22" i="18"/>
  <c r="D26" i="12"/>
  <c r="D28" i="9"/>
  <c r="D48" i="3"/>
  <c r="D27" i="13"/>
  <c r="C28" i="13" s="1"/>
  <c r="D26" i="6"/>
  <c r="C27" i="6" s="1"/>
  <c r="C27" i="16"/>
  <c r="B28" i="16" s="1"/>
  <c r="C31" i="14"/>
  <c r="B32" i="14" s="1"/>
  <c r="D27" i="12"/>
  <c r="C28" i="12" s="1"/>
  <c r="D30" i="9"/>
  <c r="C28" i="20"/>
  <c r="B29" i="20" s="1"/>
  <c r="C22" i="19"/>
  <c r="B23" i="19" s="1"/>
  <c r="C34" i="15"/>
  <c r="C35" i="15"/>
  <c r="C36" i="15" s="1"/>
  <c r="D49" i="3"/>
  <c r="C50" i="3" s="1"/>
  <c r="D35" i="10"/>
  <c r="C36" i="10" s="1"/>
  <c r="D29" i="11"/>
  <c r="C30" i="11" s="1"/>
  <c r="D25" i="7"/>
  <c r="D26" i="7" s="1"/>
  <c r="D24" i="7"/>
  <c r="D28" i="8"/>
  <c r="D29" i="8" s="1"/>
  <c r="D27" i="8"/>
  <c r="D28" i="5"/>
  <c r="C25" i="18"/>
  <c r="B26" i="18" s="1"/>
  <c r="D30" i="4"/>
  <c r="D31" i="4"/>
  <c r="D32" i="4" s="1"/>
  <c r="D29" i="5" l="1"/>
  <c r="C30" i="5"/>
  <c r="D27" i="7"/>
  <c r="C28" i="7" s="1"/>
  <c r="D31" i="9"/>
  <c r="C32" i="9"/>
  <c r="C37" i="15"/>
  <c r="B38" i="15" s="1"/>
  <c r="D33" i="4"/>
  <c r="C34" i="4" s="1"/>
  <c r="D30" i="8"/>
  <c r="C31" i="8" s="1"/>
  <c r="S65" i="1" l="1"/>
  <c r="S68" i="1" s="1"/>
  <c r="T65" i="1"/>
  <c r="U65" i="1" s="1"/>
  <c r="U68" i="1" s="1"/>
  <c r="U741" i="1" s="1"/>
  <c r="T3" i="1" s="1"/>
  <c r="R3"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Sávio</author>
  </authors>
  <commentList>
    <comment ref="D2" authorId="0" shapeId="0" xr:uid="{AF876A5D-AC84-4896-9954-2BB94077932F}">
      <text>
        <r>
          <rPr>
            <b/>
            <sz val="9"/>
            <color indexed="81"/>
            <rFont val="Segoe UI"/>
            <family val="2"/>
          </rPr>
          <t>Sávio:</t>
        </r>
        <r>
          <rPr>
            <sz val="9"/>
            <color indexed="81"/>
            <rFont val="Segoe UI"/>
            <family val="2"/>
          </rPr>
          <t xml:space="preserve">
Quantitativo divergente devido a alteração final do projeto executivo. Alteração da área do tanque de piscicultura</t>
        </r>
      </text>
    </comment>
    <comment ref="D7" authorId="0" shapeId="0" xr:uid="{051C36C3-DC39-4DAF-B4FB-2CC98FA54BF7}">
      <text>
        <r>
          <rPr>
            <b/>
            <sz val="9"/>
            <color indexed="81"/>
            <rFont val="Segoe UI"/>
            <family val="2"/>
          </rPr>
          <t>Sávio:</t>
        </r>
        <r>
          <rPr>
            <sz val="9"/>
            <color indexed="81"/>
            <rFont val="Segoe UI"/>
            <family val="2"/>
          </rPr>
          <t xml:space="preserve">
Quantitativo divergente devido a alteração final do projeto executivo. Alteração da área da piscicultura.</t>
        </r>
      </text>
    </comment>
    <comment ref="D9" authorId="0" shapeId="0" xr:uid="{2E265860-F1A9-4509-A1DF-ABEC77953CCC}">
      <text>
        <r>
          <rPr>
            <b/>
            <sz val="9"/>
            <color indexed="81"/>
            <rFont val="Segoe UI"/>
            <family val="2"/>
          </rPr>
          <t>Sávio:</t>
        </r>
        <r>
          <rPr>
            <sz val="9"/>
            <color indexed="81"/>
            <rFont val="Segoe UI"/>
            <family val="2"/>
          </rPr>
          <t xml:space="preserve">
Quantitativo divergente devido a alteração final do projeto executivo. Alteração da área da piscicultura.</t>
        </r>
      </text>
    </comment>
    <comment ref="E16" authorId="0" shapeId="0" xr:uid="{5C69B973-093B-4488-BC41-C4225E1C4CED}">
      <text>
        <r>
          <rPr>
            <b/>
            <sz val="9"/>
            <color indexed="81"/>
            <rFont val="Segoe UI"/>
            <family val="2"/>
          </rPr>
          <t>Sávio:</t>
        </r>
        <r>
          <rPr>
            <sz val="9"/>
            <color indexed="81"/>
            <rFont val="Segoe UI"/>
            <family val="2"/>
          </rPr>
          <t xml:space="preserve">
esse valor foi comentado no item 3.3.1 do relatório
</t>
        </r>
      </text>
    </comment>
    <comment ref="D19" authorId="0" shapeId="0" xr:uid="{7B7B996E-5E1B-4A0B-BB25-87A50BB1AE29}">
      <text>
        <r>
          <rPr>
            <b/>
            <sz val="9"/>
            <color indexed="81"/>
            <rFont val="Segoe UI"/>
            <family val="2"/>
          </rPr>
          <t>Sávio:</t>
        </r>
        <r>
          <rPr>
            <sz val="9"/>
            <color indexed="81"/>
            <rFont val="Segoe UI"/>
            <family val="2"/>
          </rPr>
          <t xml:space="preserve">
Quantitativo divergente devido a alteração final do projeto executivo. Alteração da área do tanque de piscicultura</t>
        </r>
      </text>
    </comment>
    <comment ref="E19" authorId="0" shapeId="0" xr:uid="{A8AEA53F-8D9D-4AB3-A190-0F33B11CFA51}">
      <text>
        <r>
          <rPr>
            <b/>
            <sz val="9"/>
            <color indexed="81"/>
            <rFont val="Segoe UI"/>
            <family val="2"/>
          </rPr>
          <t>Sávio:</t>
        </r>
        <r>
          <rPr>
            <sz val="9"/>
            <color indexed="81"/>
            <rFont val="Segoe UI"/>
            <family val="2"/>
          </rPr>
          <t xml:space="preserve">
o relatório pede a correção do código deste item</t>
        </r>
      </text>
    </comment>
    <comment ref="F19" authorId="0" shapeId="0" xr:uid="{3F6B2C71-76DE-4092-9AD3-018FCE85167E}">
      <text>
        <r>
          <rPr>
            <b/>
            <sz val="9"/>
            <color indexed="81"/>
            <rFont val="Segoe UI"/>
            <family val="2"/>
          </rPr>
          <t>Sávio:</t>
        </r>
        <r>
          <rPr>
            <sz val="9"/>
            <color indexed="81"/>
            <rFont val="Segoe UI"/>
            <family val="2"/>
          </rPr>
          <t xml:space="preserve">
o relatório pede a correção do código deste item</t>
        </r>
      </text>
    </comment>
    <comment ref="E20" authorId="0" shapeId="0" xr:uid="{934321DA-8369-4F95-A1AF-A5E61F1DA7EC}">
      <text>
        <r>
          <rPr>
            <b/>
            <sz val="9"/>
            <color indexed="81"/>
            <rFont val="Segoe UI"/>
            <family val="2"/>
          </rPr>
          <t>Sávio:</t>
        </r>
        <r>
          <rPr>
            <sz val="9"/>
            <color indexed="81"/>
            <rFont val="Segoe UI"/>
            <family val="2"/>
          </rPr>
          <t xml:space="preserve">
Demonstrar em projeto executivo o quantitativo por sapata para efeito de memória. Sendo assim, fica a empresa responsável por apresentar a distinção
dos quantitativos de 102,40 Kg divididos por sapata.</t>
        </r>
      </text>
    </comment>
    <comment ref="D21" authorId="0" shapeId="0" xr:uid="{EDE0C229-1D90-411E-8336-F8C754A3BDAB}">
      <text>
        <r>
          <rPr>
            <b/>
            <sz val="9"/>
            <color indexed="81"/>
            <rFont val="Segoe UI"/>
            <family val="2"/>
          </rPr>
          <t>Sávio:</t>
        </r>
        <r>
          <rPr>
            <sz val="9"/>
            <color indexed="81"/>
            <rFont val="Segoe UI"/>
            <family val="2"/>
          </rPr>
          <t xml:space="preserve">
Quantitativo retirado de projeto</t>
        </r>
      </text>
    </comment>
    <comment ref="E21" authorId="0" shapeId="0" xr:uid="{9DCBA2F0-A455-4847-A4B3-E8B147522101}">
      <text>
        <r>
          <rPr>
            <b/>
            <sz val="9"/>
            <color indexed="81"/>
            <rFont val="Segoe UI"/>
            <family val="2"/>
          </rPr>
          <t>Sávio:</t>
        </r>
        <r>
          <rPr>
            <sz val="9"/>
            <color indexed="81"/>
            <rFont val="Segoe UI"/>
            <family val="2"/>
          </rPr>
          <t xml:space="preserve">
Considerando que os itens não foram apresentados com cada estrutura em
separado, favor revisar os quantitativos apresentados, separando
preferencialmente por elemento (ex.: pilar, viga, laje/cobertura etc.) de cada
construção (piscicultura, novo depósito e hidroponia).
Desta forma, o valor deverá ser novamente apresentado para análise.</t>
        </r>
      </text>
    </comment>
    <comment ref="E22" authorId="0" shapeId="0" xr:uid="{FD192326-FA4F-4EA1-AF29-FD18766B4CF3}">
      <text>
        <r>
          <rPr>
            <b/>
            <sz val="9"/>
            <color indexed="81"/>
            <rFont val="Segoe UI"/>
            <family val="2"/>
          </rPr>
          <t>Sávio:</t>
        </r>
        <r>
          <rPr>
            <sz val="9"/>
            <color indexed="81"/>
            <rFont val="Segoe UI"/>
            <family val="2"/>
          </rPr>
          <t xml:space="preserve">
Aprova-se o aditivo ao item sem outras observações de 88,66 m³.
???</t>
        </r>
      </text>
    </comment>
    <comment ref="F22" authorId="0" shapeId="0" xr:uid="{A51976CB-9423-491C-A9D2-903AE731FB56}">
      <text>
        <r>
          <rPr>
            <b/>
            <sz val="9"/>
            <color indexed="81"/>
            <rFont val="Segoe UI"/>
            <family val="2"/>
          </rPr>
          <t>Sávio:</t>
        </r>
        <r>
          <rPr>
            <sz val="9"/>
            <color indexed="81"/>
            <rFont val="Segoe UI"/>
            <family val="2"/>
          </rPr>
          <t xml:space="preserve">
Aprova-se o aditivo ao item sem outras observações de 88,66 m³.
???</t>
        </r>
      </text>
    </comment>
    <comment ref="E23" authorId="0" shapeId="0" xr:uid="{63B7A5DA-021E-408A-8125-28A8F778152C}">
      <text>
        <r>
          <rPr>
            <b/>
            <sz val="9"/>
            <color indexed="81"/>
            <rFont val="Segoe UI"/>
            <family val="2"/>
          </rPr>
          <t>Sávio:</t>
        </r>
        <r>
          <rPr>
            <sz val="9"/>
            <color indexed="81"/>
            <rFont val="Segoe UI"/>
            <family val="2"/>
          </rPr>
          <t xml:space="preserve">
Aprova-se o aditivo ao item sem outras observações de 88,66 m³.
???</t>
        </r>
      </text>
    </comment>
    <comment ref="F23" authorId="0" shapeId="0" xr:uid="{50E45E78-3CC5-48C6-85C7-C5E8F42AC90C}">
      <text>
        <r>
          <rPr>
            <b/>
            <sz val="9"/>
            <color indexed="81"/>
            <rFont val="Segoe UI"/>
            <family val="2"/>
          </rPr>
          <t>Sávio:</t>
        </r>
        <r>
          <rPr>
            <sz val="9"/>
            <color indexed="81"/>
            <rFont val="Segoe UI"/>
            <family val="2"/>
          </rPr>
          <t xml:space="preserve">
Aprova-se o aditivo ao item sem outras observações de 88,66 m³.
???</t>
        </r>
      </text>
    </comment>
    <comment ref="E24" authorId="0" shapeId="0" xr:uid="{990480F7-7992-40F0-8EF0-19D48A18B91E}">
      <text>
        <r>
          <rPr>
            <b/>
            <sz val="9"/>
            <color indexed="81"/>
            <rFont val="Segoe UI"/>
            <family val="2"/>
          </rPr>
          <t>Sávio:</t>
        </r>
        <r>
          <rPr>
            <sz val="9"/>
            <color indexed="81"/>
            <rFont val="Segoe UI"/>
            <family val="2"/>
          </rPr>
          <t xml:space="preserve">
Trata-se de item utilizado para reforçar as estruturas em concreto armado
existentes a fim de garantir a estanqueidade da estrutura. Deve-se revisar o
memorial de cálculo para demonstrar os quantitativos apresentados,
indicando a altura da recomposição nas paredes internas do tanque.
Desta forma, o valor deverá ser novamente apresentado para análise.</t>
        </r>
      </text>
    </comment>
    <comment ref="E25" authorId="0" shapeId="0" xr:uid="{8EB64ED8-5F56-4917-BBB6-A88802ACF694}">
      <text>
        <r>
          <rPr>
            <b/>
            <sz val="9"/>
            <color indexed="81"/>
            <rFont val="Segoe UI"/>
            <family val="2"/>
          </rPr>
          <t>Sávio:</t>
        </r>
        <r>
          <rPr>
            <sz val="9"/>
            <color indexed="81"/>
            <rFont val="Segoe UI"/>
            <family val="2"/>
          </rPr>
          <t xml:space="preserve">
Sabendo da necessidade de implementar os acessos às áreas do entorno da
piscicultura, serão executadas duas escadas no local. Porém, deve-se revisar
o memorial de cálculo para demonstrar os quantitativos apresentados,
indicando a volumetria de cada escada que será executada no local.
Desta forma, o valor deverá ser novamente apresentado para análise.</t>
        </r>
      </text>
    </comment>
    <comment ref="D38" authorId="0" shapeId="0" xr:uid="{ACE58C60-3E9F-4461-93C6-CAA0B3ADBD07}">
      <text>
        <r>
          <rPr>
            <b/>
            <sz val="9"/>
            <color indexed="81"/>
            <rFont val="Segoe UI"/>
            <family val="2"/>
          </rPr>
          <t>Sávio:</t>
        </r>
        <r>
          <rPr>
            <sz val="9"/>
            <color indexed="81"/>
            <rFont val="Segoe UI"/>
            <family val="2"/>
          </rPr>
          <t xml:space="preserve">
Possui projeto porem eles ou não viram ou não consideraram
</t>
        </r>
      </text>
    </comment>
    <comment ref="E39" authorId="0" shapeId="0" xr:uid="{949E65F7-7E73-4EB8-9ADB-CE4E45374B78}">
      <text>
        <r>
          <rPr>
            <b/>
            <sz val="9"/>
            <color indexed="81"/>
            <rFont val="Segoe UI"/>
            <family val="2"/>
          </rPr>
          <t xml:space="preserve">Sávio: </t>
        </r>
        <r>
          <rPr>
            <sz val="9"/>
            <color indexed="81"/>
            <rFont val="Segoe UI"/>
            <family val="2"/>
          </rPr>
          <t>O quantitativo não foi pago em nenhuma medição tanto de aditivo quanto de contrato, pois eles foram executados e cotado após o 1º aditivo. (o fiscal alega que parte do item já foi pago)</t>
        </r>
      </text>
    </comment>
    <comment ref="E42" authorId="0" shapeId="0" xr:uid="{D36E9134-0080-4B6F-9D85-729B4E6D70C2}">
      <text>
        <r>
          <rPr>
            <b/>
            <sz val="9"/>
            <color indexed="81"/>
            <rFont val="Segoe UI"/>
            <family val="2"/>
          </rPr>
          <t>Sávio:</t>
        </r>
        <r>
          <rPr>
            <sz val="9"/>
            <color indexed="81"/>
            <rFont val="Segoe UI"/>
            <family val="2"/>
          </rPr>
          <t xml:space="preserve">
Quantitativo que eles consideraram nos tanques não condis com projeto apresentado</t>
        </r>
      </text>
    </comment>
    <comment ref="E43" authorId="0" shapeId="0" xr:uid="{6C0DD98C-5009-4DDF-87F1-E0E6CCB70CA8}">
      <text>
        <r>
          <rPr>
            <b/>
            <sz val="9"/>
            <color indexed="81"/>
            <rFont val="Segoe UI"/>
            <family val="2"/>
          </rPr>
          <t>Sávio:</t>
        </r>
        <r>
          <rPr>
            <sz val="9"/>
            <color indexed="81"/>
            <rFont val="Segoe UI"/>
            <family val="2"/>
          </rPr>
          <t xml:space="preserve">
Quantitativo que eles consideraram nos tanques não condis com projeto apresentado</t>
        </r>
      </text>
    </comment>
    <comment ref="D44" authorId="0" shapeId="0" xr:uid="{E3C49142-5D83-49AA-8D31-BA8202C4508D}">
      <text>
        <r>
          <rPr>
            <b/>
            <sz val="9"/>
            <color indexed="81"/>
            <rFont val="Segoe UI"/>
            <family val="2"/>
          </rPr>
          <t>Sávio:</t>
        </r>
        <r>
          <rPr>
            <sz val="9"/>
            <color indexed="81"/>
            <rFont val="Segoe UI"/>
            <family val="2"/>
          </rPr>
          <t xml:space="preserve">
Quantitativo divergente devido a alteração final do projeto executivo. Alteração da área do tanque de piscicultura</t>
        </r>
      </text>
    </comment>
    <comment ref="D45" authorId="0" shapeId="0" xr:uid="{07D17A08-1983-4493-AA5F-A26CF1186D84}">
      <text>
        <r>
          <rPr>
            <b/>
            <sz val="9"/>
            <color indexed="81"/>
            <rFont val="Segoe UI"/>
            <family val="2"/>
          </rPr>
          <t>Sávio:</t>
        </r>
        <r>
          <rPr>
            <sz val="9"/>
            <color indexed="81"/>
            <rFont val="Segoe UI"/>
            <family val="2"/>
          </rPr>
          <t xml:space="preserve">
Quantitativo divergente devido a alteração final do projeto executivo. Alteração da área do tanque de piscicultura</t>
        </r>
      </text>
    </comment>
    <comment ref="D56" authorId="0" shapeId="0" xr:uid="{D7B8E5A3-7CEA-4588-B565-5EE626B59C7D}">
      <text>
        <r>
          <rPr>
            <b/>
            <sz val="9"/>
            <color indexed="81"/>
            <rFont val="Segoe UI"/>
            <family val="2"/>
          </rPr>
          <t>Sávio:</t>
        </r>
        <r>
          <rPr>
            <sz val="9"/>
            <color indexed="81"/>
            <rFont val="Segoe UI"/>
            <family val="2"/>
          </rPr>
          <t xml:space="preserve">
Quantitativo retirado de projeto </t>
        </r>
      </text>
    </comment>
    <comment ref="D57" authorId="0" shapeId="0" xr:uid="{9C02A21E-1C4D-44BE-8870-D340A3690005}">
      <text>
        <r>
          <rPr>
            <b/>
            <sz val="9"/>
            <color indexed="81"/>
            <rFont val="Segoe UI"/>
            <family val="2"/>
          </rPr>
          <t>Sávio:</t>
        </r>
        <r>
          <rPr>
            <sz val="9"/>
            <color indexed="81"/>
            <rFont val="Segoe UI"/>
            <family val="2"/>
          </rPr>
          <t xml:space="preserve">
Quantitativo retirado de projeto, e subistituição dos cabos de 750v</t>
        </r>
      </text>
    </comment>
    <comment ref="D60" authorId="0" shapeId="0" xr:uid="{9EDBC51C-0113-49F2-A6C0-F3E64B556AB9}">
      <text>
        <r>
          <rPr>
            <b/>
            <sz val="9"/>
            <color indexed="81"/>
            <rFont val="Segoe UI"/>
            <family val="2"/>
          </rPr>
          <t>Sávio:</t>
        </r>
        <r>
          <rPr>
            <sz val="9"/>
            <color indexed="81"/>
            <rFont val="Segoe UI"/>
            <family val="2"/>
          </rPr>
          <t xml:space="preserve">
Quantitativo retirado de projeto, e subistituição dos cabos de 750v</t>
        </r>
      </text>
    </comment>
    <comment ref="D61" authorId="0" shapeId="0" xr:uid="{C761C3C9-2D97-4169-BA82-9B75E5BD1B88}">
      <text>
        <r>
          <rPr>
            <b/>
            <sz val="9"/>
            <color indexed="81"/>
            <rFont val="Segoe UI"/>
            <family val="2"/>
          </rPr>
          <t>Sávio:</t>
        </r>
        <r>
          <rPr>
            <sz val="9"/>
            <color indexed="81"/>
            <rFont val="Segoe UI"/>
            <family val="2"/>
          </rPr>
          <t xml:space="preserve">
Quantitativo retirado de projeto, e subistituição dos cabos de 750v</t>
        </r>
      </text>
    </comment>
    <comment ref="D62" authorId="0" shapeId="0" xr:uid="{3B6D5CAE-8508-4C16-9EFB-F69A6F586B0A}">
      <text>
        <r>
          <rPr>
            <b/>
            <sz val="9"/>
            <color indexed="81"/>
            <rFont val="Segoe UI"/>
            <family val="2"/>
          </rPr>
          <t>Sávio:</t>
        </r>
        <r>
          <rPr>
            <sz val="9"/>
            <color indexed="81"/>
            <rFont val="Segoe UI"/>
            <family val="2"/>
          </rPr>
          <t xml:space="preserve">
Quantitativo retirado de projeto</t>
        </r>
      </text>
    </comment>
    <comment ref="D63" authorId="0" shapeId="0" xr:uid="{1C5FBE8A-9286-4529-915C-605E29E7EB42}">
      <text>
        <r>
          <rPr>
            <b/>
            <sz val="9"/>
            <color indexed="81"/>
            <rFont val="Segoe UI"/>
            <family val="2"/>
          </rPr>
          <t>Sávio:</t>
        </r>
        <r>
          <rPr>
            <sz val="9"/>
            <color indexed="81"/>
            <rFont val="Segoe UI"/>
            <family val="2"/>
          </rPr>
          <t xml:space="preserve">
Quantitativo retirado de projeto
</t>
        </r>
      </text>
    </comment>
    <comment ref="D64" authorId="0" shapeId="0" xr:uid="{E6D4C988-998C-4B9C-B952-40D8C20AA71F}">
      <text>
        <r>
          <rPr>
            <b/>
            <sz val="9"/>
            <color indexed="81"/>
            <rFont val="Segoe UI"/>
            <family val="2"/>
          </rPr>
          <t>Sávio:</t>
        </r>
        <r>
          <rPr>
            <sz val="9"/>
            <color indexed="81"/>
            <rFont val="Segoe UI"/>
            <family val="2"/>
          </rPr>
          <t xml:space="preserve">
Quantitativo retirado de projeto</t>
        </r>
      </text>
    </comment>
    <comment ref="D65" authorId="0" shapeId="0" xr:uid="{226E3E61-BF8C-4186-90F6-08927C92297B}">
      <text>
        <r>
          <rPr>
            <b/>
            <sz val="9"/>
            <color indexed="81"/>
            <rFont val="Segoe UI"/>
            <family val="2"/>
          </rPr>
          <t>Sávio:</t>
        </r>
        <r>
          <rPr>
            <sz val="9"/>
            <color indexed="81"/>
            <rFont val="Segoe UI"/>
            <family val="2"/>
          </rPr>
          <t xml:space="preserve">
Quantitativo retirado de projeto</t>
        </r>
      </text>
    </comment>
    <comment ref="D93" authorId="0" shapeId="0" xr:uid="{798F692F-CFB5-42E0-8C20-64C9CAE643AC}">
      <text>
        <r>
          <rPr>
            <b/>
            <sz val="9"/>
            <color indexed="81"/>
            <rFont val="Segoe UI"/>
            <family val="2"/>
          </rPr>
          <t>Sávio:</t>
        </r>
        <r>
          <rPr>
            <sz val="9"/>
            <color indexed="81"/>
            <rFont val="Segoe UI"/>
            <family val="2"/>
          </rPr>
          <t xml:space="preserve">
Consideraram áreas divergentes do projeto e não consideraram a área do patio interno
</t>
        </r>
      </text>
    </comment>
    <comment ref="D96" authorId="0" shapeId="0" xr:uid="{F7FB0ACF-1E4E-40A4-9CAB-09EB4297A92E}">
      <text>
        <r>
          <rPr>
            <b/>
            <sz val="9"/>
            <color indexed="81"/>
            <rFont val="Segoe UI"/>
            <family val="2"/>
          </rPr>
          <t>Sávio:</t>
        </r>
        <r>
          <rPr>
            <sz val="9"/>
            <color indexed="81"/>
            <rFont val="Segoe UI"/>
            <family val="2"/>
          </rPr>
          <t xml:space="preserve">
Não foi considerado o gradil as margens da rodovia</t>
        </r>
      </text>
    </comment>
    <comment ref="D97" authorId="0" shapeId="0" xr:uid="{491D5E6B-4016-4B8E-B3E9-D38EBCE7CC48}">
      <text>
        <r>
          <rPr>
            <b/>
            <sz val="9"/>
            <color indexed="81"/>
            <rFont val="Segoe UI"/>
            <family val="2"/>
          </rPr>
          <t>Sávio:</t>
        </r>
        <r>
          <rPr>
            <sz val="9"/>
            <color indexed="81"/>
            <rFont val="Segoe UI"/>
            <family val="2"/>
          </rPr>
          <t xml:space="preserve">
Revisão dos croquis
</t>
        </r>
      </text>
    </comment>
    <comment ref="E98" authorId="0" shapeId="0" xr:uid="{95E7ED5A-3DF2-48D8-9ECF-21AAF475167B}">
      <text>
        <r>
          <rPr>
            <b/>
            <sz val="9"/>
            <color indexed="81"/>
            <rFont val="Segoe UI"/>
            <family val="2"/>
          </rPr>
          <t>Sávio:</t>
        </r>
        <r>
          <rPr>
            <sz val="9"/>
            <color indexed="81"/>
            <rFont val="Segoe UI"/>
            <family val="2"/>
          </rPr>
          <t xml:space="preserve">
Quantitativo glosado devido a falta de representação em projeto. ( representação e quantitativo adicionados ao projeto de urbanismo na ultima revisão)
</t>
        </r>
      </text>
    </comment>
    <comment ref="D101" authorId="0" shapeId="0" xr:uid="{F3333D23-0171-4E2A-B067-C7E10C6C39DB}">
      <text>
        <r>
          <rPr>
            <b/>
            <sz val="9"/>
            <color indexed="81"/>
            <rFont val="Segoe UI"/>
            <family val="2"/>
          </rPr>
          <t>Sávio:</t>
        </r>
        <r>
          <rPr>
            <sz val="9"/>
            <color indexed="81"/>
            <rFont val="Segoe UI"/>
            <family val="2"/>
          </rPr>
          <t xml:space="preserve">
Quantitatico condizente com a realidade, medido in loco</t>
        </r>
      </text>
    </comment>
    <comment ref="E103" authorId="0" shapeId="0" xr:uid="{F56771A0-D2FF-4181-B7F1-BB273A6F8B88}">
      <text>
        <r>
          <rPr>
            <b/>
            <sz val="9"/>
            <color indexed="81"/>
            <rFont val="Segoe UI"/>
            <family val="2"/>
          </rPr>
          <t>Sávio:</t>
        </r>
        <r>
          <rPr>
            <sz val="9"/>
            <color indexed="81"/>
            <rFont val="Segoe UI"/>
            <family val="2"/>
          </rPr>
          <t xml:space="preserve">
Falam que não consta em projeto, porem o projeto que consta e o HS do predio principal ( já foi justificado na nota)</t>
        </r>
      </text>
    </comment>
    <comment ref="E104" authorId="0" shapeId="0" xr:uid="{90D0992F-2E6E-451E-BDEC-D3C3249A7266}">
      <text>
        <r>
          <rPr>
            <b/>
            <sz val="9"/>
            <color indexed="81"/>
            <rFont val="Segoe UI"/>
            <family val="2"/>
          </rPr>
          <t>Sávio:</t>
        </r>
        <r>
          <rPr>
            <sz val="9"/>
            <color indexed="81"/>
            <rFont val="Segoe UI"/>
            <family val="2"/>
          </rPr>
          <t xml:space="preserve">
Falam que não consta em projeto, porem o projeto que consta e o HS do predio principal ( já foi justificado na nota)</t>
        </r>
      </text>
    </comment>
    <comment ref="E109" authorId="0" shapeId="0" xr:uid="{9AEA8C8F-F9AA-467C-94F5-FE67C7A7F57A}">
      <text>
        <r>
          <rPr>
            <b/>
            <sz val="9"/>
            <color indexed="81"/>
            <rFont val="Segoe UI"/>
            <family val="2"/>
          </rPr>
          <t>Sávio:</t>
        </r>
        <r>
          <rPr>
            <sz val="9"/>
            <color indexed="81"/>
            <rFont val="Segoe UI"/>
            <family val="2"/>
          </rPr>
          <t xml:space="preserve">
O quantitativo apresentado pela GAE está divergente do projeto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R13" authorId="0" shapeId="0" xr:uid="{00000000-0006-0000-0100-000002000000}">
      <text>
        <r>
          <rPr>
            <sz val="10"/>
            <rFont val="Arial"/>
            <family val="2"/>
          </rPr>
          <t xml:space="preserve">Sávio Leal:
</t>
        </r>
        <r>
          <rPr>
            <sz val="9"/>
            <color rgb="FF000000"/>
            <rFont val="Segoe UI"/>
            <family val="2"/>
          </rPr>
          <t>Foi calculado com 2 metros de profundidade. Execução do local</t>
        </r>
      </text>
    </comment>
    <comment ref="A166" authorId="0" shapeId="0" xr:uid="{00000000-0006-0000-0100-000001000000}">
      <text>
        <r>
          <rPr>
            <sz val="10"/>
            <rFont val="Arial"/>
            <family val="2"/>
          </rPr>
          <t>[Comentário encadeado]
Sua versão do Excel permite que você leia este comentário encadeado, no entanto, as edições serão removidas se o arquivo for aberto em uma versão mais recente do Excel. Saiba mais: https://go.microsoft.com/fwlink/?linkid=870924
Comentário:
    Cade a composição? Precisa organizar pq se mudou a descrição do item tem que adicionar a composição</t>
        </r>
      </text>
    </comment>
  </commentList>
</comments>
</file>

<file path=xl/sharedStrings.xml><?xml version="1.0" encoding="utf-8"?>
<sst xmlns="http://schemas.openxmlformats.org/spreadsheetml/2006/main" count="9145" uniqueCount="3997">
  <si>
    <t>PLANILHA ORÇAMENTÁRIA - SINTÉTICA</t>
  </si>
  <si>
    <t>2° ADITIVO</t>
  </si>
  <si>
    <t>REPLANILHAMENTO</t>
  </si>
  <si>
    <t>ACRÉSCIMO</t>
  </si>
  <si>
    <t>DECRÉSCIMO</t>
  </si>
  <si>
    <t>EXTRA</t>
  </si>
  <si>
    <t>SBC</t>
  </si>
  <si>
    <t>ITEM</t>
  </si>
  <si>
    <t>CÓDIGO</t>
  </si>
  <si>
    <t>TABELA DE REFERÊNCIA</t>
  </si>
  <si>
    <t>DESCRIÇÃO</t>
  </si>
  <si>
    <t>UN.</t>
  </si>
  <si>
    <t>QUANT.</t>
  </si>
  <si>
    <t>PREÇO UNITARIO COM BDI C/ DESCONTO</t>
  </si>
  <si>
    <t>VALOR TOTAL COM BDI</t>
  </si>
  <si>
    <t>PESO (%)</t>
  </si>
  <si>
    <t>PREÇO TOTAL</t>
  </si>
  <si>
    <t>VALOR TOTAL</t>
  </si>
  <si>
    <t xml:space="preserve"> 1 </t>
  </si>
  <si>
    <t>SERVIÇOS PRELIMINARES</t>
  </si>
  <si>
    <t xml:space="preserve"> 1.2 </t>
  </si>
  <si>
    <t>DEMOLIÇÕES E RETIRADAS</t>
  </si>
  <si>
    <t xml:space="preserve"> 1.2.1 </t>
  </si>
  <si>
    <t>IOPES</t>
  </si>
  <si>
    <t>Demolição de piso cimentado inclusive lastro de concreto</t>
  </si>
  <si>
    <t>m²</t>
  </si>
  <si>
    <t xml:space="preserve"> 1.2.2 </t>
  </si>
  <si>
    <t xml:space="preserve"> 010202 </t>
  </si>
  <si>
    <t>Demolição de piso revestido com cerâmica</t>
  </si>
  <si>
    <t xml:space="preserve"> 1.2.3 </t>
  </si>
  <si>
    <t xml:space="preserve"> 010205 </t>
  </si>
  <si>
    <t>Demolição de piso de tábuas</t>
  </si>
  <si>
    <t xml:space="preserve"> 1.2.4 </t>
  </si>
  <si>
    <t xml:space="preserve"> 010206 </t>
  </si>
  <si>
    <t>Demolição de revestimento com azulejos</t>
  </si>
  <si>
    <t xml:space="preserve"> 1.2.5 </t>
  </si>
  <si>
    <t xml:space="preserve"> 010209 </t>
  </si>
  <si>
    <t>Demolição de alvenaria</t>
  </si>
  <si>
    <t>m³</t>
  </si>
  <si>
    <t xml:space="preserve"> 1.2.6 </t>
  </si>
  <si>
    <t xml:space="preserve"> 010214 </t>
  </si>
  <si>
    <t>Retirada de portas e janelas de madeira, inclusive batentes</t>
  </si>
  <si>
    <t xml:space="preserve"> 1.2.7 </t>
  </si>
  <si>
    <t xml:space="preserve"> 010215 </t>
  </si>
  <si>
    <t>Retirada de esquadrias metálicas</t>
  </si>
  <si>
    <t xml:space="preserve"> 1.2.8 </t>
  </si>
  <si>
    <t xml:space="preserve"> 010223 </t>
  </si>
  <si>
    <t>Retirada de aparelhos sanitários</t>
  </si>
  <si>
    <t>und</t>
  </si>
  <si>
    <t xml:space="preserve"> 1.2.9 </t>
  </si>
  <si>
    <t xml:space="preserve"> 010224 </t>
  </si>
  <si>
    <t>Retirada de grades, gradis, alambrados, cercas e portões</t>
  </si>
  <si>
    <t xml:space="preserve"> 1.2.10 </t>
  </si>
  <si>
    <t xml:space="preserve"> 010225 </t>
  </si>
  <si>
    <t>Retirada de bancada de pia</t>
  </si>
  <si>
    <t xml:space="preserve"> 1.2.11 </t>
  </si>
  <si>
    <t xml:space="preserve"> 010227 </t>
  </si>
  <si>
    <t>Retirada de caixa d'água de fibrocimento, inclusive tubulação de ligação</t>
  </si>
  <si>
    <t xml:space="preserve"> 1.2.12 </t>
  </si>
  <si>
    <t xml:space="preserve"> 010228 </t>
  </si>
  <si>
    <t>Demolição de forro de madeira, sem reaproveitamento</t>
  </si>
  <si>
    <t xml:space="preserve"> 1.2.13 </t>
  </si>
  <si>
    <t xml:space="preserve"> 010229 </t>
  </si>
  <si>
    <t>Retirada de poste de aço de 4 a 6 m</t>
  </si>
  <si>
    <t xml:space="preserve"> 1.2.14 </t>
  </si>
  <si>
    <t xml:space="preserve"> 010256 </t>
  </si>
  <si>
    <t>Remoção de telha ondulada de fibrocimento, inclusive cumeeira</t>
  </si>
  <si>
    <t xml:space="preserve"> 1.2.15 </t>
  </si>
  <si>
    <t xml:space="preserve"> 010240 </t>
  </si>
  <si>
    <t>Retirada de pontos elétricos (luminárias, interruptores e tomadas)</t>
  </si>
  <si>
    <t xml:space="preserve"> 1.2.16 </t>
  </si>
  <si>
    <t xml:space="preserve"> 010208 </t>
  </si>
  <si>
    <t>Retirada de revestimento antigo em reboco</t>
  </si>
  <si>
    <t xml:space="preserve"> 1.3 </t>
  </si>
  <si>
    <t xml:space="preserve"> 1.3.1 </t>
  </si>
  <si>
    <t xml:space="preserve"> 010318 </t>
  </si>
  <si>
    <t>Remoção de forro em eucatex, sem aproveitamento do material</t>
  </si>
  <si>
    <t xml:space="preserve"> 1.3.2 </t>
  </si>
  <si>
    <t xml:space="preserve"> 010323 </t>
  </si>
  <si>
    <t>Retirada de torneiras e registros</t>
  </si>
  <si>
    <t xml:space="preserve"> 1.3.3 </t>
  </si>
  <si>
    <t xml:space="preserve"> 010325 </t>
  </si>
  <si>
    <t>Demolição de estrutura de madeira para telhado</t>
  </si>
  <si>
    <t xml:space="preserve"> 1.3.4 </t>
  </si>
  <si>
    <t xml:space="preserve"> 010331 </t>
  </si>
  <si>
    <t>Demolição de piso, soleira, peitoris e escadas em mármore ou granito, exclusive regularização</t>
  </si>
  <si>
    <t xml:space="preserve"> 1.4 </t>
  </si>
  <si>
    <t>LIMPEZA DO TERRENO</t>
  </si>
  <si>
    <t xml:space="preserve"> 1.4.1 </t>
  </si>
  <si>
    <t>Raspagem e limpeza do terreno (manual)</t>
  </si>
  <si>
    <t xml:space="preserve"> 1.4.2 </t>
  </si>
  <si>
    <t>Corte e destocamento de árvores com diâmetro superior a 30 cm</t>
  </si>
  <si>
    <t xml:space="preserve"> 1.5 </t>
  </si>
  <si>
    <t>LOCAÇÃO</t>
  </si>
  <si>
    <t>INSTALAÇÃO DO CANTEIRO DE OBRAS</t>
  </si>
  <si>
    <t xml:space="preserve"> 2.3 </t>
  </si>
  <si>
    <t>TAPUMES, BARRACÕES E COBERTURAS</t>
  </si>
  <si>
    <t xml:space="preserve"> 2.3.1 </t>
  </si>
  <si>
    <t>Placa de obra nas dimensões de 2.0 x 4.0 m, padrão DER</t>
  </si>
  <si>
    <t xml:space="preserve"> 2.3.2 </t>
  </si>
  <si>
    <t>Locação de andaime metálico para trabalho em fachada de edifíco (aluguel de 1 m² por 1 mês) inclusive frete, montagem e desmontagem</t>
  </si>
  <si>
    <t xml:space="preserve"> 2.3.3 </t>
  </si>
  <si>
    <t>Mobilização e desmobilização de conteiner locado para barracão de obra</t>
  </si>
  <si>
    <t xml:space="preserve"> 2.3.4 </t>
  </si>
  <si>
    <t>Fornecimento e instalação de proteção para andaime fachadeiro considerando plataforma, rodapé e guarda-corpo em madeira, inclusive entelamento, conforme NR-18 (medido por m2 de fachada)</t>
  </si>
  <si>
    <t xml:space="preserve"> 2.3.5 </t>
  </si>
  <si>
    <t>Tapume Telha Metálica Ondulada em aço galvalume 0,50mm Branca h=2,20m, incl. montagem estr. mad. 8"x8", c/adesivo "DER-ES" 60x60cm a cada 10m, incl. faixas pint. esmalte sint. cores azul c/ h=30cm e rosa c/ h=10cm (Reaproveitamento 2x)</t>
  </si>
  <si>
    <t>m</t>
  </si>
  <si>
    <t xml:space="preserve"> 2.3.6 </t>
  </si>
  <si>
    <t>Aluguel mensal container sanitário, incl porta, básc, 2 ptos luz, 1 pto aterram., 3vasos, 3lavatórios, calha mictório, 6 chuveiros (1 eletrico), torn.,registros, piso comp. Naval pintado, cert NR18 e laudo descontaminação</t>
  </si>
  <si>
    <t>ms</t>
  </si>
  <si>
    <t xml:space="preserve"> 2.7 </t>
  </si>
  <si>
    <t>INSTALAÇÃO DO CANTEIRO DE OBRAS (UTILIZAÇÃO 1 VEZ), PROJETO PADRÃO LABOR - NR.18 (OBRAS COM PRAZO DE EXECUÇÃO SUPERIOR A 12 MESES)</t>
  </si>
  <si>
    <t xml:space="preserve"> 2.7.1 </t>
  </si>
  <si>
    <t>Barracão para escritório com sanitário área de 14.50 m2, de chapa de compens. 12mm e pontalete 8x8cm, piso cimentado e cobertura de telha de fibroc. 6mm, incl. ponto de luz e cx. de inspeção, conf. projeto (1 utilização)</t>
  </si>
  <si>
    <t xml:space="preserve"> 2.7.2 </t>
  </si>
  <si>
    <t>Barracão para almoxarifado área de 10.90m2, de chapa de compensado de 12mm e pontalete 8x8cm, piso cimentado e cobertura de telhas de fibrocimento de 6mm, incl. ponto de luz, conf. projeto (1 utilização)</t>
  </si>
  <si>
    <t xml:space="preserve"> 2.7.3 </t>
  </si>
  <si>
    <t>Barracão para depósito de cimento área de 10.90m2, de chapa de compensado 12mm e pontaletes 8x8cm, piso cimentado e cobertura de telhas de fibrocimento de 6mm, inclusive ponto de luz, conf. projeto (1 utilização)</t>
  </si>
  <si>
    <t xml:space="preserve"> 2.7.4 </t>
  </si>
  <si>
    <t>Refeitório com paredes de chapa de compens. 12mm e pontaletes 8x8cm, piso ciment. e cob. de telhas fibroc. 6mm, incl. ponto de luz e cx. de inspeção (cons. 1.21 m2/func./turno), conf. projeto (1 utilização)</t>
  </si>
  <si>
    <t xml:space="preserve"> 2.7.5 </t>
  </si>
  <si>
    <t>Galpão para serraria e carpintaria área 12.00m2, em peça de madeira 8x8cm e contraventamento de 5x7cm, cobertura de telha de fibroc. de 6mm, inclusive ponto e cabo de alimentação da máquina, conf. projeto (1 utilização)</t>
  </si>
  <si>
    <t xml:space="preserve"> 2.7.6 </t>
  </si>
  <si>
    <t>Galpão para corte e armação com área de 6.00m2, em peças de madeira 8x8cm e contraventamento de 5x7cm, cobertura de telhas de fibroc. de 6mm, inclusive ponto e cabo de alimentação da máquina, conf. projeto (1 utilização)</t>
  </si>
  <si>
    <t xml:space="preserve"> 2.8 </t>
  </si>
  <si>
    <t>INSTALAÇÃO DO CANTEIRO DE OBRAS (UTILIZAÇÃO 2 VEZES), PROJETO PADRÃO LABOR -NR.18 (OBRAS COM PRAZO DE EXECUÇÃO DE 6 A 12 MESES)</t>
  </si>
  <si>
    <t>MOVIMENTO DE TERRA</t>
  </si>
  <si>
    <t xml:space="preserve"> 3.1 </t>
  </si>
  <si>
    <t>ESCAVAÇÕES</t>
  </si>
  <si>
    <t xml:space="preserve"> 3.1.1 </t>
  </si>
  <si>
    <t>Escavação manual em material de 1a. categoria, até 1.50 m de profundidade</t>
  </si>
  <si>
    <t xml:space="preserve"> 3.1.2 </t>
  </si>
  <si>
    <t>SINAPI</t>
  </si>
  <si>
    <t>ESCAVAÇÃO MANUAL PARA BLOCO DE COROAMENTO OU SAPATA (INCLUINDO ESCAVAÇÃO PARA COLOCAÇÃO DE FÔRMAS). AF_06/2017</t>
  </si>
  <si>
    <t xml:space="preserve"> 3.1.3 </t>
  </si>
  <si>
    <t>ESCAVAÇÃO MECANIZADA DE VALA COM PROF. ATÉ 1,5 M (MÉDIA MONTANTE E JUSANTE/UMA COMPOSIÇÃO POR TRECHO), ESCAVADEIRA (0,8 M3), LARG. DE 1,5 M A 2,5 M, EM SOLO DE 1A CATEGORIA, EM LOCAIS COM ALTO NÍVEL DE INTERFERÊNCIA. AF_02/2021</t>
  </si>
  <si>
    <t xml:space="preserve"> 3.1.4 </t>
  </si>
  <si>
    <t>REATERRO MANUAL DE VALAS COM COMPACTAÇÃO MECANIZADA. AF_04/2016</t>
  </si>
  <si>
    <t xml:space="preserve"> 3.2 </t>
  </si>
  <si>
    <t>REATERRO E COMPACTAÇÃO</t>
  </si>
  <si>
    <t xml:space="preserve"> 3.2.1 </t>
  </si>
  <si>
    <t>Aterro manual para regularização do terreno em areia, inclusive adensamento hidráulico e fornecimento do material (máximo de 100m3)</t>
  </si>
  <si>
    <t xml:space="preserve"> 3.3 </t>
  </si>
  <si>
    <t>TRANSPORTES</t>
  </si>
  <si>
    <t xml:space="preserve"> 3.3.1 </t>
  </si>
  <si>
    <t>Índice de preço para remoção de entulho decorrente da execução de obras (Classe A CONAMA - NBR 10.004 - Classe II-B), incluindo aluguel da caçamba, carga, transporte e descarga em área licenciada</t>
  </si>
  <si>
    <t>ESTRUTURAS</t>
  </si>
  <si>
    <t xml:space="preserve"> 4.2 </t>
  </si>
  <si>
    <t>INFRA-ESTRUTURA (FUNDAÇÃO)</t>
  </si>
  <si>
    <t xml:space="preserve"> 4.2.1 </t>
  </si>
  <si>
    <t>LASTRO DE CONCRETO MAGRO, APLICADO EM BLOCOS DE COROAMENTO OU SAPATAS. AF_08/2017</t>
  </si>
  <si>
    <t xml:space="preserve"> 4.2.2 </t>
  </si>
  <si>
    <t>FABRICAÇÃO, MONTAGEM E DESMONTAGEM DE FÔRMA PARA SAPATA, EM MADEIRA SERRADA, E=25 MM, 2 UTILIZAÇÕES. AF_06/2017</t>
  </si>
  <si>
    <t xml:space="preserve"> 4.2.3 </t>
  </si>
  <si>
    <t>CONCRETAGEM DE SAPATAS, FCK 30 MPA, COM USO DE BOMBA  LANÇAMENTO, ADENSAMENTO E ACABAMENTO. AF_11/2016</t>
  </si>
  <si>
    <t xml:space="preserve"> 4.2.4 </t>
  </si>
  <si>
    <t>CONCRETAGEM DE RADIER, PISO DE CONCRETO OU LAJE SOBRE SOLO, FCK 30 MPA - LANÇAMENTO, ADENSAMENTO E ACABAMENTO. AF_09/2021</t>
  </si>
  <si>
    <t xml:space="preserve"> 4.2.5 </t>
  </si>
  <si>
    <t>ARMAÇÃO DE BLOCO, VIGA BALDRAME OU SAPATA UTILIZANDO AÇO CA-50 DE 6,3 MM - MONTAGEM. AF_06/2017</t>
  </si>
  <si>
    <t>KG</t>
  </si>
  <si>
    <t xml:space="preserve"> 4.2.6 </t>
  </si>
  <si>
    <t>ARMAÇÃO DE BLOCO, VIGA BALDRAME OU SAPATA UTILIZANDO AÇO CA-50 DE 8 MM - MONTAGEM. AF_06/2017</t>
  </si>
  <si>
    <t xml:space="preserve"> 4.2.7 </t>
  </si>
  <si>
    <t>ARMAÇÃO DE BLOCO, VIGA BALDRAME OU SAPATA UTILIZANDO AÇO CA-50 DE 10 MM - MONTAGEM. AF_06/2017</t>
  </si>
  <si>
    <t xml:space="preserve"> 4.2.8 </t>
  </si>
  <si>
    <t>ARMAÇÃO DE BLOCO, VIGA BALDRAME OU SAPATA UTILIZANDO AÇO CA-50 DE 12,5 MM - MONTAGEM. AF_06/2017</t>
  </si>
  <si>
    <t xml:space="preserve"> 4.2.9 </t>
  </si>
  <si>
    <t>ARMAÇÃO DE BLOCO, VIGA BALDRAME OU SAPATA UTILIZANDO AÇO CA-50 DE 16 MM - MONTAGEM. AF_06/2017</t>
  </si>
  <si>
    <t xml:space="preserve"> 4.3 </t>
  </si>
  <si>
    <t>SUPER-ESTRUTURA</t>
  </si>
  <si>
    <t xml:space="preserve"> 4.3.1 </t>
  </si>
  <si>
    <t>COMPOSIÇÃO PARAMÉTRICA PARA FORNECIMENTO E MONTAGEM DE ESTRUTURA METÁLICA PARA ESTRUTURA PRINCIPAL DE EDIFICAÇÕES (PILARES, VIGAS E CONTRAVENTAMENTO). AF_11/2022</t>
  </si>
  <si>
    <t xml:space="preserve"> 4.3.2 </t>
  </si>
  <si>
    <t>ARMAÇÃO PARA EXECUÇÃO DE RADIER, PISO DE CONCRETO OU LAJE SOBRE SOLO, COM USO DE TELA Q-196. AF_09/2021</t>
  </si>
  <si>
    <t xml:space="preserve"> 4.3.3 </t>
  </si>
  <si>
    <t>ARMAÇÃO DO SISTEMA DE PAREDES DE CONCRETO, EXECUTADA COMO ARMADURA POSITIVA DE LAJES, TELA Q-196. AF_06/2019</t>
  </si>
  <si>
    <t xml:space="preserve"> 4.3.4 </t>
  </si>
  <si>
    <t>APLICAÇÃO DE LONA PLÁSTICA PARA EXECUÇÃO DE PAVIMENTOS DE CONCRETO. AF_04/2022</t>
  </si>
  <si>
    <t xml:space="preserve"> 4.3.5 </t>
  </si>
  <si>
    <t xml:space="preserve"> 040231 </t>
  </si>
  <si>
    <t>Fornecimento, preparo e aplicação de concreto magro com consumo mínimo de cimento de 250 kg/m3 (brita 1 e 2) - (5% de perdas já incluído no custo)</t>
  </si>
  <si>
    <t xml:space="preserve"> 4.3.6 </t>
  </si>
  <si>
    <t xml:space="preserve"> 040810 </t>
  </si>
  <si>
    <t>Recomposição de concreto danificado, com utilização de argamassa Sika Grout ou equivalente</t>
  </si>
  <si>
    <t xml:space="preserve"> 4.4 </t>
  </si>
  <si>
    <t>ESTRUTURAS DE CONCRETO APARENTE</t>
  </si>
  <si>
    <t xml:space="preserve"> 4.4.1 </t>
  </si>
  <si>
    <t xml:space="preserve"> 102073 </t>
  </si>
  <si>
    <t>ESCADA EM CONCRETO ARMADO MOLDADO IN LOCO, FCK 25 MPA, COM 1 LANCE E LAJE PLANA, FÔRMA EM CHAPA DE MADEIRA COMPENSADA RESINADA. AF_11/2020_PA</t>
  </si>
  <si>
    <t xml:space="preserve"> 4.4.2 </t>
  </si>
  <si>
    <t xml:space="preserve"> 98659 </t>
  </si>
  <si>
    <t>EXECUÇÃO DE MURETA GUIA PARA CONTENÇÃO/ FUNDAÇÃO COM 80 CM DE ESPESSURA. AF_06/2018</t>
  </si>
  <si>
    <t>M</t>
  </si>
  <si>
    <t xml:space="preserve"> 4.6 </t>
  </si>
  <si>
    <t>LAJES PRÉ-MOLDADAS</t>
  </si>
  <si>
    <t xml:space="preserve"> 4.7 </t>
  </si>
  <si>
    <t>DIVERSOS</t>
  </si>
  <si>
    <t xml:space="preserve"> 4.7.1 </t>
  </si>
  <si>
    <t xml:space="preserve"> COMP-ARQ-07 </t>
  </si>
  <si>
    <t>Próprio</t>
  </si>
  <si>
    <t>ELEVADOR - MODELO SCHINDLER S1000 – SEM CASA DE MÁQUINAS - Atlas Schindler S/A. •	Capacidade: 08 pessoas (atendendo a Norma de Acessibilidade NM 313:2007 – p/ uso exclusivo de poratdores de necessidades especiais) •	Paradas: (03) T + 1 + 2 •	Percurso: 803 cm  •	Velocidade: 45 M/MIN – VVVF •	Porta: 80 x 200 – LATERAL •	Cabina: 110 x 140 x 240 (Larg x Prof x Alt) MEDIDAS MÍNIMAS NECESSÁRIAS PARA A INSTALAÇÃO DO ELEVADOR  ÚLTIMA PARADA: 440 cm POÇO DE MOLAS: 140 cm  CAIXA INTERNA ACABADA E APRUMADA: 160 x 180 cm</t>
  </si>
  <si>
    <t>UND</t>
  </si>
  <si>
    <t xml:space="preserve"> 4.8 </t>
  </si>
  <si>
    <t>RECUPERAÇÃO DE ESTRUTURAS</t>
  </si>
  <si>
    <t xml:space="preserve"> 4.9 </t>
  </si>
  <si>
    <t>MURO DE ARRIMO (Conc. ciclópico 15MPa c/ 30% de pedra de mão, c/ forn., preparo e aplicação de concreto, forma de tábua pinho-reap.5 vezes, exclusive escav. e reaterro) seções tipicas nas seguintes dimensões:</t>
  </si>
  <si>
    <t xml:space="preserve"> 5 </t>
  </si>
  <si>
    <t>PAREDES E PAINÉIS</t>
  </si>
  <si>
    <t xml:space="preserve"> 5.1 </t>
  </si>
  <si>
    <t>ALVENARIA DE VEDAÇÃO</t>
  </si>
  <si>
    <t xml:space="preserve"> 5.2 </t>
  </si>
  <si>
    <t>PLACAS E PAINÉIS DIVISÓRIOS</t>
  </si>
  <si>
    <t xml:space="preserve"> 5.2.1 </t>
  </si>
  <si>
    <t xml:space="preserve"> 050202 </t>
  </si>
  <si>
    <t>Fornecimento e instalação de divisórias novas com acabamento de chapa de fibra de madeira, sistema de montagem simplificado, espessura de 35mm e miolo em colméia no padrão painel/painel</t>
  </si>
  <si>
    <t xml:space="preserve"> 5.2.2 </t>
  </si>
  <si>
    <t xml:space="preserve"> 050203 </t>
  </si>
  <si>
    <t>Fornecimento e instalação de porta para divisória de 80 X 210 cm incluindo dobradiças e fechadura interna</t>
  </si>
  <si>
    <t xml:space="preserve"> 5.2.3 </t>
  </si>
  <si>
    <t xml:space="preserve"> 050205 </t>
  </si>
  <si>
    <t>Divisória de granito com 3 cm de espessura, assentada com argamassa de cimento e areia no traço 1:3, na cor cinza</t>
  </si>
  <si>
    <t xml:space="preserve"> 5.2.4 </t>
  </si>
  <si>
    <t xml:space="preserve"> 050206 </t>
  </si>
  <si>
    <t>Divisória de granito cinza andorinha com 3 cm de espessura, fixada com cantoneira de ferro cromado</t>
  </si>
  <si>
    <t xml:space="preserve"> 5.3 </t>
  </si>
  <si>
    <t>VERGAS/CONTRAVERGA</t>
  </si>
  <si>
    <t xml:space="preserve"> 5.3.1 </t>
  </si>
  <si>
    <t xml:space="preserve"> 050301 </t>
  </si>
  <si>
    <t>Verga/contraverga reta de concreto armado 10 x 5 cm, Fck = 15 MPa, inclusive forma, armação e desforma</t>
  </si>
  <si>
    <t xml:space="preserve"> 5.5 </t>
  </si>
  <si>
    <t>ALVENARIA ESTRUTURAL</t>
  </si>
  <si>
    <t xml:space="preserve"> 5.6 </t>
  </si>
  <si>
    <t>ALVENARIA DE VEDAÇÃO EMPREGANDO ARGAMASSA DE CIMENTO, CAL E AREIA</t>
  </si>
  <si>
    <t xml:space="preserve"> 5.6.1 </t>
  </si>
  <si>
    <t xml:space="preserve"> 050605 </t>
  </si>
  <si>
    <t>Alvenaria de blocos cerâmicos 10 furos 10x20x20cm, assentados c/argamassa de cimento, cal hidratada CH1 e areia traço 1:0,5:8, juntas 12mm e esp. das paredes s/revestimento, 10cm (bloco comprado na praça de Vitória, posto obra)</t>
  </si>
  <si>
    <t xml:space="preserve"> 5.6.2 </t>
  </si>
  <si>
    <t xml:space="preserve"> 96359 </t>
  </si>
  <si>
    <t>PAREDE COM PLACAS DE GESSO ACARTONADO (DRYWALL), PARA USO INTERNO, COM DUAS FACES SIMPLES E ESTRUTURA METÁLICA COM GUIAS SIMPLES, COM VÃOS AF_06/2017_PS</t>
  </si>
  <si>
    <t xml:space="preserve"> 5.6.3 </t>
  </si>
  <si>
    <t xml:space="preserve"> COMP-ARQ-08 </t>
  </si>
  <si>
    <t>LÃ DE ROCHA PARA PAREDE DRYWALL</t>
  </si>
  <si>
    <t>M²</t>
  </si>
  <si>
    <t xml:space="preserve"> 6 </t>
  </si>
  <si>
    <t>ESQUADRIAS DE MADEIRA</t>
  </si>
  <si>
    <t xml:space="preserve"> 6.1 </t>
  </si>
  <si>
    <t>MARCOS E ALIZARES</t>
  </si>
  <si>
    <t xml:space="preserve"> 6.11 </t>
  </si>
  <si>
    <t>FERRAGENS</t>
  </si>
  <si>
    <t xml:space="preserve"> 6.11.1 </t>
  </si>
  <si>
    <t xml:space="preserve"> 100874 </t>
  </si>
  <si>
    <t>PUXADOR PARA PCD, FIXADO NA PORTA - FORNECIMENTO E INSTALAÇÃO. AF_01/2020</t>
  </si>
  <si>
    <t>UN</t>
  </si>
  <si>
    <t xml:space="preserve"> 6.11.2 </t>
  </si>
  <si>
    <t xml:space="preserve"> COMP-ARQ-09 </t>
  </si>
  <si>
    <t>CHAPA DE AÇO INOX</t>
  </si>
  <si>
    <t xml:space="preserve"> 6.13 </t>
  </si>
  <si>
    <t>PORTA EM MADEIRA DE LEI TIPO ANGELIM PEDRA OU EQUIV.C/ENCHIMENTO EM MADEIRA 1A.QUALIDADE ESP. 30MM P/ PINTURA, INCLUSIVE ALIZARES, DOBRADIÇAS E FECHADURA
EXTERNA, EXCLUSIVE MARCO</t>
  </si>
  <si>
    <t xml:space="preserve"> 6.13.1 </t>
  </si>
  <si>
    <t xml:space="preserve"> 100678 </t>
  </si>
  <si>
    <t>KIT DE PORTA DE MADEIRA PARA VERNIZ, SEMI-OCA (LEVE OU MÉDIA), PADRÃO MÉDIO, 60X210CM, ESPESSURA DE 3,5CM, ITENS INCLUSOS: DOBRADIÇAS, MONTAGEM E INSTALAÇÃO DE BATENTE, FECHADURA COM EXECUÇÃO DO FURO - FORNECIMENTO E INSTALAÇÃO. AF_12/2019</t>
  </si>
  <si>
    <t xml:space="preserve"> 6.13.2 </t>
  </si>
  <si>
    <t xml:space="preserve"> 100680 </t>
  </si>
  <si>
    <t>KIT DE PORTA DE MADEIRA PARA VERNIZ, SEMI-OCA (LEVE OU MÉDIA), PADRÃO MÉDIO, 70X210CM, ESPESSURA DE 3,5CM, ITENS INCLUSOS: DOBRADIÇAS, MONTAGEM E INSTALAÇÃO DE BATENTE, FECHADURA COM EXECUÇÃO DO FURO - FORNECIMENTO E INSTALAÇÃO. AF_12/2019</t>
  </si>
  <si>
    <t xml:space="preserve"> 6.13.3 </t>
  </si>
  <si>
    <t xml:space="preserve"> 100683 </t>
  </si>
  <si>
    <t>KIT DE PORTA DE MADEIRA PARA VERNIZ, SEMI-OCA (LEVE OU MÉDIA), PADRÃO MÉDIO, 80X210CM, ESPESSURA DE 3,5CM, ITENS INCLUSOS: DOBRADIÇAS, MONTAGEM E INSTALAÇÃO DE BATENTE, FECHADURA COM EXECUÇÃO DO FURO - FORNECIMENTO E INSTALAÇÃO. AF_12/2019</t>
  </si>
  <si>
    <t xml:space="preserve"> 6.13.4 </t>
  </si>
  <si>
    <t xml:space="preserve"> 100685 </t>
  </si>
  <si>
    <t>KIT DE PORTA DE MADEIRA PARA VERNIZ, SEMI-OCA (LEVE OU MÉDIA), PADRÃO MÉDIO, 90X210CM, ESPESSURA DE 3,5CM, ITENS INCLUSOS: DOBRADIÇAS, MONTAGEM E INSTALAÇÃO DE BATENTE, FECHADURA COM EXECUÇÃO DO FURO - FORNECIMENTO E INSTALAÇÃO. AF_12/2019</t>
  </si>
  <si>
    <t xml:space="preserve"> 6.13.5 </t>
  </si>
  <si>
    <t xml:space="preserve"> 100667 </t>
  </si>
  <si>
    <t>JANELA DE MADEIRA (IMBUIA/CEDRO OU EQUIV.) DE ABRIR COM 4 FOLHAS (2 VENEZIANAS E 2 GUILHOTINAS PARA VIDRO), COM BATENTE, ALIZAR E FERRAGENS. EXCLUSIVE VIDROS, ACABAMENTO E CONTRAMARCO. FORNECIMENTO E INSTALAÇÃO. AF_12/2019</t>
  </si>
  <si>
    <t xml:space="preserve"> 6.13.6 </t>
  </si>
  <si>
    <t xml:space="preserve"> COMP-ARQ-01 </t>
  </si>
  <si>
    <t>KIT DE PORTA DE MADEIRA PARA VERNIZ, SEMI-OCA (LEVE OU MÉDIA), PADRÃO UN CR 913,25 MÉDIO, 70X280CM, ESPESSURA DE 3,5CM, ITENS INCLUSOS: DOBRADIÇAS, MONTA GEM E INSTALAÇÃO DE BATENTE, FECHADURA COM EXECUÇÃO DO FURO - FORNECIM ENTO E INSTALAÇÃO</t>
  </si>
  <si>
    <t xml:space="preserve"> 6.13.7 </t>
  </si>
  <si>
    <t xml:space="preserve"> COMP-ARQ-02 </t>
  </si>
  <si>
    <t>KIT DE PORTA DE MADEIRA PARA VERNIZ, SEMI-OCA (LEVE OU MÉDIA), PADRÃO UN CR 913,25 MÉDIO, 80X280CM, ESPESSURA DE 3,5CM, ITENS INCLUSOS: DOBRADIÇAS, MONTA GEM E INSTALAÇÃO DE BATENTE, FECHADURA COM EXECUÇÃO DO FURO - FORNECIM ENTO E INSTALAÇÃO</t>
  </si>
  <si>
    <t xml:space="preserve"> 6.13.8 </t>
  </si>
  <si>
    <t xml:space="preserve"> COMP-ARQ-03 </t>
  </si>
  <si>
    <t>KIT DE PORTA DE MADEIRA PARA VERNIZ, SEMI-OCA (LEVE OU MÉDIA), PADRÃO UN CR 913,25 MÉDIO, 90X280CM, ESPESSURA DE 3,5CM, ITENS INCLUSOS: DOBRADIÇAS, MONTA GEM E INSTALAÇÃO DE BATENTE, FECHADURA COM EXECUÇÃO DO FURO - FORNECIM ENTO E INSTALAÇÃO</t>
  </si>
  <si>
    <t xml:space="preserve"> 6.13.9 </t>
  </si>
  <si>
    <t xml:space="preserve"> COMP-ARQ-04 </t>
  </si>
  <si>
    <t>KIT DE PORTA DE MADEIRA PARA VERNIZ, SEMI-OCA (LEVE OU MÉDIA), PADRÃO UN CR 913,25 MÉDIO, 106X210CM, ESPESSURA DE 3,5CM, ITENS INCLUSOS: DOBRADIÇAS, MONTA GEM E INSTALAÇÃO DE BATENTE, FECHADURA COM EXECUÇÃO DO FURO - FORNECIM ENTO E INSTALAÇÃO</t>
  </si>
  <si>
    <t xml:space="preserve"> 6.13.10 </t>
  </si>
  <si>
    <t xml:space="preserve"> COMP-ARQ-05 </t>
  </si>
  <si>
    <t>KIT DE PORTA DUPLA DE MADEIRA PARA VERNIZ, SEMI-OCA (LEVE OU MÉDIA), PADRÃO UN CR 913,25 MÉDIO, 120X280CM, ESPESSURA DE 3,5CM, ITENS INCLUSOS: DOBRADIÇAS, MONTA GEM E INSTALAÇÃO DE BATENTE, FECHADURA COM EXECUÇÃO DO FURO - FORNECIM ENTO E INSTALAÇÃO</t>
  </si>
  <si>
    <t xml:space="preserve"> 6.13.11 </t>
  </si>
  <si>
    <t xml:space="preserve"> COMP-ARQ-06 </t>
  </si>
  <si>
    <t>KIT DE PORTA DUPLA DE MADEIRA PARA VERNIZ, SEMI-OCA (LEVE OU MÉDIA), PADRÃO UN CR 913,25 MÉDIO, 130X220CM, ESPESSURA DE 3,5CM, ITENS INCLUSOS: DOBRADIÇAS, MONTA GEM E INSTALAÇÃO DE BATENTE, FECHADURA COM EXECUÇÃO DO FURO - FORNECIM ENTO E INSTALAÇÃO</t>
  </si>
  <si>
    <t xml:space="preserve"> 7 </t>
  </si>
  <si>
    <t>ESQUADRIAS METÁLICAS</t>
  </si>
  <si>
    <t xml:space="preserve"> 7.11 </t>
  </si>
  <si>
    <t>GRADES E PORTÕES</t>
  </si>
  <si>
    <t xml:space="preserve"> 7.11.1 </t>
  </si>
  <si>
    <t xml:space="preserve"> 071103 </t>
  </si>
  <si>
    <t>Grade de tela tipo mosquiteiro de arame galvanizado #18, fio 32, inclusive, requadro em cantoneira de ferro 1/8"x1/2"x1/2"</t>
  </si>
  <si>
    <t xml:space="preserve"> 7.17 </t>
  </si>
  <si>
    <t>ESQUADRIAS METÁLICAS (M2)</t>
  </si>
  <si>
    <t xml:space="preserve"> 7.17.1 </t>
  </si>
  <si>
    <t xml:space="preserve"> 071701 </t>
  </si>
  <si>
    <t>Janela de correr para vidro em alumínio anodizado cor natural, linha 25, completa, incl. puxador com tranca, alizar, caixilho e contramarco, exclusive vidro</t>
  </si>
  <si>
    <t xml:space="preserve"> 7.17.2 </t>
  </si>
  <si>
    <t xml:space="preserve"> 071702 </t>
  </si>
  <si>
    <t>Báscula para vidro em alumínio anodizado cor natural, linha 25, completa, com tranca, caixilho, alizar e contramarco, exclusive vidro</t>
  </si>
  <si>
    <t xml:space="preserve"> 7.17.3 </t>
  </si>
  <si>
    <t xml:space="preserve"> 071704 </t>
  </si>
  <si>
    <t>Porta de abrir tipo veneziana em alumínio anodizado, linha 25, completa, incl. puxador com tranca, caixilho, alizar e contramarco</t>
  </si>
  <si>
    <t xml:space="preserve"> 7.17.4 </t>
  </si>
  <si>
    <t xml:space="preserve"> 94559 </t>
  </si>
  <si>
    <t>JANELA DE AÇO TIPO BASCULANTE PARA VIDROS, COM BATENTE, FERRAGENS E PINTURA ANTICORROSIVA. EXCLUSIVE VIDROS, ACABAMENTO, ALIZAR E CONTRAMARCO. FORNECIMENTO E INSTALAÇÃO. AF_12/2019</t>
  </si>
  <si>
    <t xml:space="preserve"> 7.17.5 </t>
  </si>
  <si>
    <t xml:space="preserve"> 90838 </t>
  </si>
  <si>
    <t>PORTA CORTA-FOGO 90X210X4CM - FORNECIMENTO E INSTALAÇÃO. AF_12/2019</t>
  </si>
  <si>
    <t xml:space="preserve"> 7.18 </t>
  </si>
  <si>
    <t>REVISÕES E REPAROS</t>
  </si>
  <si>
    <t xml:space="preserve"> 7.18.1 </t>
  </si>
  <si>
    <t xml:space="preserve"> 071801 </t>
  </si>
  <si>
    <t>Escovamento com escova de aço em esquadrias de ferro</t>
  </si>
  <si>
    <t xml:space="preserve"> 8 </t>
  </si>
  <si>
    <t>VIDROS E ESPELHOS</t>
  </si>
  <si>
    <t xml:space="preserve"> 8.1 </t>
  </si>
  <si>
    <t>VIDROS PARA ESQUADRIAS</t>
  </si>
  <si>
    <t xml:space="preserve"> 8.1.1 </t>
  </si>
  <si>
    <t xml:space="preserve"> 080102 </t>
  </si>
  <si>
    <t>Vidro plano transparente liso, com 4 mm de espessura</t>
  </si>
  <si>
    <t xml:space="preserve"> 8.1.2 </t>
  </si>
  <si>
    <t xml:space="preserve"> 102176 </t>
  </si>
  <si>
    <t>INSTALAÇÃO DE VIDRO LAMINADO, E = 8 MM (4+4), ENCAIXADO EM PERFIL U. AF_01/2021_PS</t>
  </si>
  <si>
    <t xml:space="preserve"> 8.2 </t>
  </si>
  <si>
    <t>ESPELHOS</t>
  </si>
  <si>
    <t xml:space="preserve"> 8.2.1 </t>
  </si>
  <si>
    <t xml:space="preserve"> 080201 </t>
  </si>
  <si>
    <t>Espelho para banheiros espessura 4 mm, incluindo chapa compensada 10 mm, moldura de alumínio em perfil L 3/4", fixado com parafusos cromados</t>
  </si>
  <si>
    <t xml:space="preserve"> 9 </t>
  </si>
  <si>
    <t>COBERTURA</t>
  </si>
  <si>
    <t xml:space="preserve"> 9.1 </t>
  </si>
  <si>
    <t>ESTRUTURA PARA TELHADO</t>
  </si>
  <si>
    <t xml:space="preserve"> 9.2 </t>
  </si>
  <si>
    <t>TELHADO</t>
  </si>
  <si>
    <t xml:space="preserve"> 9.2.1 </t>
  </si>
  <si>
    <t xml:space="preserve"> 94441 </t>
  </si>
  <si>
    <t>TELHAMENTO COM TELHA CERÂMICA DE ENCAIXE, TIPO FRANCESA, COM MAIS DE 2 ÁGUAS, INCLUSO TRANSPORTE VERTICAL. AF_07/2019</t>
  </si>
  <si>
    <t xml:space="preserve"> 9.2.2 </t>
  </si>
  <si>
    <t xml:space="preserve"> 94216 </t>
  </si>
  <si>
    <t>TELHAMENTO COM TELHA METÁLICA TERMOACÚSTICA E = 30 MM, COM ATÉ 2 ÁGUAS, INCLUSO IÇAMENTO. AF_07/2019</t>
  </si>
  <si>
    <t xml:space="preserve"> 9.3 </t>
  </si>
  <si>
    <t>RUFOS E CALHAS</t>
  </si>
  <si>
    <t xml:space="preserve"> 9.3.1 </t>
  </si>
  <si>
    <t xml:space="preserve"> 090312 </t>
  </si>
  <si>
    <t>Calha em chapa galvanizada com largura de 40 cm</t>
  </si>
  <si>
    <t xml:space="preserve"> 9.4 </t>
  </si>
  <si>
    <t>PLATIBANDA</t>
  </si>
  <si>
    <t xml:space="preserve"> 9.5 </t>
  </si>
  <si>
    <t xml:space="preserve"> 10 </t>
  </si>
  <si>
    <t>IMPERMEABILIZAÇÃO</t>
  </si>
  <si>
    <t xml:space="preserve"> 10.1 </t>
  </si>
  <si>
    <t>IMPERMEABILIZAÇÃO DE CAIXAS DE ÁGUA</t>
  </si>
  <si>
    <t xml:space="preserve"> 10.2 </t>
  </si>
  <si>
    <t>IMPERMEABILIZAÇÃO CALHAS, LAJES DESCOBERTAS, BALDRAMES, PAREDES E JARDINEIRAS</t>
  </si>
  <si>
    <t xml:space="preserve"> 10.2.1 </t>
  </si>
  <si>
    <t xml:space="preserve"> 100204 </t>
  </si>
  <si>
    <t>Impermeabilização, empregando argamassa de cimento e areia sem peneirar no traço 1:3 com aditivo impermeabilizado tipo sika 1 ou equivalente, espessura de 2 cm</t>
  </si>
  <si>
    <t xml:space="preserve"> 10.2.2 </t>
  </si>
  <si>
    <t xml:space="preserve"> 100208 </t>
  </si>
  <si>
    <t>Índice de imperm.c/ manta asfáltica atendendo NBR 9952, asfalto polimerizado esp.3mm, reforç.c/ filme int. polietileno, regul. base c/ arg.1:4 esp.mín.15mm, proteção mec. arg.1:4 esp.20mm e juntas dilat.</t>
  </si>
  <si>
    <t xml:space="preserve"> 10.2.3 </t>
  </si>
  <si>
    <t xml:space="preserve"> 100202 </t>
  </si>
  <si>
    <t>Impermeabilização com argamassa de igol 2 - marca de referência Sika</t>
  </si>
  <si>
    <t xml:space="preserve"> 10.3 </t>
  </si>
  <si>
    <t>IMPERMEABILIZAÇÃO DE FOSSAS E FILTROS</t>
  </si>
  <si>
    <t xml:space="preserve"> 11 </t>
  </si>
  <si>
    <t>TETOS E FORROS</t>
  </si>
  <si>
    <t xml:space="preserve"> 11.1 </t>
  </si>
  <si>
    <t>REVESTIMENTO COM ARGAMASSA</t>
  </si>
  <si>
    <t xml:space="preserve"> 11.2 </t>
  </si>
  <si>
    <t>REBAIXAMENTOS</t>
  </si>
  <si>
    <t xml:space="preserve"> 11.3 </t>
  </si>
  <si>
    <t>REVESTIMENTO EMPREGANDO ARGAMASSA DE CIMENTO, CAL E AREIA</t>
  </si>
  <si>
    <t xml:space="preserve"> 11.3.1 </t>
  </si>
  <si>
    <t>FORRO EM DRYWALL, PARA AMBIENTES COMERCIAIS, INCLUSIVE ESTRUTURA DE FIXAÇÃO. AF_05/2017_PS</t>
  </si>
  <si>
    <t xml:space="preserve"> 11.3.2 </t>
  </si>
  <si>
    <t xml:space="preserve"> 96121 </t>
  </si>
  <si>
    <t>ACABAMENTOS PARA FORRO (RODA-FORRO EM PERFIL METÁLICO E PLÁSTICO). AF_05/2017</t>
  </si>
  <si>
    <t xml:space="preserve"> 11.3.3 </t>
  </si>
  <si>
    <t xml:space="preserve"> COMP-ARQ-10 </t>
  </si>
  <si>
    <t>FORRO MINERAL 62,5x125cm COM PERFIL LAYIN, MATERIAL E INSTALAÇÃO</t>
  </si>
  <si>
    <t xml:space="preserve"> 11.4 </t>
  </si>
  <si>
    <t xml:space="preserve"> 12 </t>
  </si>
  <si>
    <t>REVESTIMENTOS DE PAREDES</t>
  </si>
  <si>
    <t xml:space="preserve"> 12.1 </t>
  </si>
  <si>
    <t xml:space="preserve"> 12.2 </t>
  </si>
  <si>
    <t>ACABAMENTOS</t>
  </si>
  <si>
    <t xml:space="preserve"> 12.2.1 </t>
  </si>
  <si>
    <t xml:space="preserve"> 120227 </t>
  </si>
  <si>
    <t>Roda parede em granito cinza andorinha 7x2cm, com acabamento abaulado nos dois lados</t>
  </si>
  <si>
    <t xml:space="preserve"> 12.2.2 </t>
  </si>
  <si>
    <t xml:space="preserve"> COMP-ARQ-11 </t>
  </si>
  <si>
    <t>Revestimento cerâmico, acabamento brilho, dim. 33x61cm, ref. de cor LISO BRANCO Biancogres/equiv. assentado com argamassa de cimento colante, inclusive rejuntamento</t>
  </si>
  <si>
    <t xml:space="preserve"> 12.3 </t>
  </si>
  <si>
    <t xml:space="preserve"> 12.3.1 </t>
  </si>
  <si>
    <t xml:space="preserve"> 120303 </t>
  </si>
  <si>
    <t>Reboco tipo paulista de argamassa de cimento, cal hidratada CH1 e areia média ou grossa lavada no traço 1:0.5:6, espessura 25 mm</t>
  </si>
  <si>
    <t xml:space="preserve"> 12.3.2 </t>
  </si>
  <si>
    <t xml:space="preserve"> 120308 </t>
  </si>
  <si>
    <t>Chapisco de argamassa de cimento e areia média ou grossa lavada no traço 1:3, espessura 5mm, com utilização de impermeabilizante</t>
  </si>
  <si>
    <t xml:space="preserve"> 13 </t>
  </si>
  <si>
    <t>PISOS INTERNOS E EXTERNOS</t>
  </si>
  <si>
    <t xml:space="preserve"> 13.1 </t>
  </si>
  <si>
    <t>LASTRO DE CONTRAPISO</t>
  </si>
  <si>
    <t xml:space="preserve"> 13.1.1 </t>
  </si>
  <si>
    <t xml:space="preserve"> 130104 </t>
  </si>
  <si>
    <t>Regularização de base p/ revestimento cerâmico, com argamassa de cimento e areia no traço 1:5, espessura 5cm</t>
  </si>
  <si>
    <t xml:space="preserve"> 13.1.2 </t>
  </si>
  <si>
    <t xml:space="preserve"> 130109 </t>
  </si>
  <si>
    <t>Lastro regularizado e impermeabilizado de concreto não estrutural, espessura de 8 cm</t>
  </si>
  <si>
    <t xml:space="preserve"> 13.2 </t>
  </si>
  <si>
    <t xml:space="preserve"> 13.2.1 </t>
  </si>
  <si>
    <t xml:space="preserve"> 130209 </t>
  </si>
  <si>
    <t>Piso de cimentado camurçado executado com argamassa de cimento e areia no traço 1:3, esp. 3.0cm</t>
  </si>
  <si>
    <t xml:space="preserve"> 13.2.2 </t>
  </si>
  <si>
    <t xml:space="preserve"> 130231 </t>
  </si>
  <si>
    <t>Piso argamassa alta resistência tipo granilite ou equiv de qualidade comprovada, esp de 10mm, com juntas plástica em quadros de 1m, na cor natural, com acabamento polido mecanizado, inclusive regularização e=3.0cm</t>
  </si>
  <si>
    <t xml:space="preserve"> 13.2.3 </t>
  </si>
  <si>
    <t xml:space="preserve"> 130234 </t>
  </si>
  <si>
    <t>Porcelanato natural, acabamento acetinado, dim. 60x60cm, ref. PLATINA NA Eliane/equiv, utilizando dupla colagem de argamassa colante para porcelanato tipo ACIII e rejunte 1mm para porcelanato</t>
  </si>
  <si>
    <t xml:space="preserve"> 13.2.4 </t>
  </si>
  <si>
    <t xml:space="preserve"> 130236 </t>
  </si>
  <si>
    <t>Piso cerâmico esmaltado, PEI 5, acabamento semibrilho, dim. 45x45cm, ref. de cor CARGO PLUS WHITE Eliane/equiv. assentado com argamassa de cimento colante, inclusive rejuntamento</t>
  </si>
  <si>
    <t xml:space="preserve"> 13.2.5 </t>
  </si>
  <si>
    <t xml:space="preserve"> COMP-ARQ-12 </t>
  </si>
  <si>
    <t>Piso porcelanato, dim. 100x100cm, ref. de cor BRANCO LISO Eliane/equiv. assentado com argamassa de cimento colante, inclusive rejuntamento</t>
  </si>
  <si>
    <t xml:space="preserve"> 13.2.6 </t>
  </si>
  <si>
    <t xml:space="preserve"> COMP-ARQ-13 </t>
  </si>
  <si>
    <t>Porcelanato, dim. 20x120cm, ref. LEGNO MASO EXTERNO Biancogres/equiv, utilizando dupla colagem de argamassa colante para porcelanato tipo ACIII e rejunte 1mm para porcelanato</t>
  </si>
  <si>
    <t xml:space="preserve"> 13.2.7 </t>
  </si>
  <si>
    <t xml:space="preserve"> COMP-ARQ-30 </t>
  </si>
  <si>
    <t>RAMPA METÁLICA-PASSARELA PARA ACESSO PLANO INCLINADO CHAPA ACO XADREZ 6,3mm</t>
  </si>
  <si>
    <t xml:space="preserve"> 13.2.8 </t>
  </si>
  <si>
    <t xml:space="preserve"> 101091 </t>
  </si>
  <si>
    <t>PISO EM LADRILHO HIDRÁULICO APLICADO EM AMBIENTES EXTERNOS. AF_05/2020</t>
  </si>
  <si>
    <t xml:space="preserve"> 13.3 </t>
  </si>
  <si>
    <t>DEGRAUS, RODAPÉS, SOLEIRAS E PEITORIS</t>
  </si>
  <si>
    <t xml:space="preserve"> 13.3.1 </t>
  </si>
  <si>
    <t>Soleira de granito esp. 2 cm e largura de 15 cm</t>
  </si>
  <si>
    <t xml:space="preserve"> 13.3.2 </t>
  </si>
  <si>
    <t xml:space="preserve"> 130317 </t>
  </si>
  <si>
    <t>Peitoril de granito cinza polido, 15 cm, esp. 3cm</t>
  </si>
  <si>
    <t xml:space="preserve"> 13.3.3 </t>
  </si>
  <si>
    <t xml:space="preserve"> 130321 </t>
  </si>
  <si>
    <t>Rodapé de granito cinza esp. 2cm, h=7cm, assentado com argamassa de cimento, cal hidratada CH1 e areia no traço 1:0,5:8, incl. rejuntamento com cimento branco</t>
  </si>
  <si>
    <t xml:space="preserve"> 13.3.4 </t>
  </si>
  <si>
    <t xml:space="preserve"> 130323 </t>
  </si>
  <si>
    <t>Soleira de argamassa de alta resistência tipo granilite ou equivalente de qualidade comprovada, largura de 15cm, executado com cimento e granitina grana N.1</t>
  </si>
  <si>
    <t xml:space="preserve"> 13.3.5 </t>
  </si>
  <si>
    <t xml:space="preserve"> 98671 </t>
  </si>
  <si>
    <t>PISO EM GRANITO APLICADO EM AMBIENTES INTERNOS. AF_09/2020</t>
  </si>
  <si>
    <t xml:space="preserve"> 13.4 </t>
  </si>
  <si>
    <t xml:space="preserve"> 14 </t>
  </si>
  <si>
    <t>INSTALAÇÕES HIDROSSANITÁRIAS/DRENAGEM</t>
  </si>
  <si>
    <t>INSTALAÇÕES HIDROSANITÁRIAS/DRENAGEM</t>
  </si>
  <si>
    <t xml:space="preserve"> 14.1 </t>
  </si>
  <si>
    <t xml:space="preserve"> 142201 </t>
  </si>
  <si>
    <t>Abertura e fechamento de rasgos em alvenaria, para passagem de tubulações, diâm. 1/2" a 1"</t>
  </si>
  <si>
    <t xml:space="preserve"> 14.2 </t>
  </si>
  <si>
    <t xml:space="preserve"> 142202 </t>
  </si>
  <si>
    <t>Abertura e fechamento de rasgos em alvenaria, para passagem de tubulações, diâm. 11/4" a 2"</t>
  </si>
  <si>
    <t xml:space="preserve"> 14.3 </t>
  </si>
  <si>
    <t xml:space="preserve"> 142204 </t>
  </si>
  <si>
    <t>Abertura e fechamento de rasgos em concreto, para passagem de tubulações, diâm. 1/2" a 1"</t>
  </si>
  <si>
    <t xml:space="preserve"> 14.4 </t>
  </si>
  <si>
    <t xml:space="preserve"> 142205 </t>
  </si>
  <si>
    <t>Abertura e fechamento de rasgos em concreto, para passagem de tubulações, diâm. 11/4" a 2"</t>
  </si>
  <si>
    <t xml:space="preserve"> 14.5 </t>
  </si>
  <si>
    <t xml:space="preserve"> 97983 </t>
  </si>
  <si>
    <t>ACRÉSCIMO PARA POÇO DE VISITA CIRCULAR PARA ESGOTO, EM CONCRETO PRÉ-MOLDADO, DIÂMETRO INTERNO = 1 M. AF_12/2020</t>
  </si>
  <si>
    <t xml:space="preserve"> 14.6 </t>
  </si>
  <si>
    <t xml:space="preserve"> 89383 </t>
  </si>
  <si>
    <t>ADAPTADOR CURTO COM BOLSA E ROSCA PARA REGISTRO, PVC, SOLDÁVEL, DN 25MM X 3/4 , INSTALADO EM RAMAL OU SUB-RAMAL DE ÁGUA - FORNECIMENTO E INSTALAÇÃO. AF_06/2022</t>
  </si>
  <si>
    <t xml:space="preserve"> 14.7 </t>
  </si>
  <si>
    <t xml:space="preserve"> 89391 </t>
  </si>
  <si>
    <t>ADAPTADOR CURTO COM BOLSA E ROSCA PARA REGISTRO, PVC, SOLDÁVEL, DN 32MM X 1 , INSTALADO EM RAMAL OU SUB-RAMAL DE ÁGUA - FORNECIMENTO E INSTALAÇÃO. AF_06/2022</t>
  </si>
  <si>
    <t xml:space="preserve"> 14.8 </t>
  </si>
  <si>
    <t xml:space="preserve"> 89572 </t>
  </si>
  <si>
    <t>ADAPTADOR CURTO COM BOLSA E ROSCA PARA REGISTRO, PVC, SOLDÁVEL, DN 40MM X 1.1/4 , INSTALADO EM PRUMADA DE ÁGUA - FORNECIMENTO E INSTALAÇÃO. AF_06/2022</t>
  </si>
  <si>
    <t xml:space="preserve"> 14.9 </t>
  </si>
  <si>
    <t xml:space="preserve"> 89596 </t>
  </si>
  <si>
    <t>ADAPTADOR CURTO COM BOLSA E ROSCA PARA REGISTRO, PVC, SOLDÁVEL, DN 50MM X 1.1/2 , INSTALADO EM PRUMADA DE ÁGUA - FORNECIMENTO E INSTALAÇÃO. AF_06/2022</t>
  </si>
  <si>
    <t xml:space="preserve"> 14.10 </t>
  </si>
  <si>
    <t xml:space="preserve"> 141524 </t>
  </si>
  <si>
    <t>Adaptador de PVC soldável com flanges livres para caixa d'água, diâmetro 40mm x 1 1/4"</t>
  </si>
  <si>
    <t xml:space="preserve"> 14.11 </t>
  </si>
  <si>
    <t xml:space="preserve"> 141525 </t>
  </si>
  <si>
    <t>Adaptador de PVC soldável com flanges livres para caixa d'água, diâmetro 50mm x 1 1/2"</t>
  </si>
  <si>
    <t xml:space="preserve"> 14.12 </t>
  </si>
  <si>
    <t xml:space="preserve"> 141526 </t>
  </si>
  <si>
    <t>Adaptador de PVC soldável com flanges livres para caixa d'água, diâmetro 60mm x 2"</t>
  </si>
  <si>
    <t xml:space="preserve"> 14.13 </t>
  </si>
  <si>
    <t xml:space="preserve"> 142122 </t>
  </si>
  <si>
    <t>Automático de bóia, duas funções 25A</t>
  </si>
  <si>
    <t xml:space="preserve"> 14.14 </t>
  </si>
  <si>
    <t xml:space="preserve"> 98410 </t>
  </si>
  <si>
    <t>BASE PARA POÇO DE VISITA CIRCULAR PARA ESGOTO, EM CONCRETO PRÉ-MOLDADO, DIÂMETRO INTERNO = 1,0 M, PROFUNDIDADE = 1,35 M, EXCLUINDO TAMPÃO. AF_12/2020_PA</t>
  </si>
  <si>
    <t xml:space="preserve"> 14.15 </t>
  </si>
  <si>
    <t xml:space="preserve"> 98405 </t>
  </si>
  <si>
    <t>BASE PARA POÇO DE VISITA CIRCULAR PARA  ESGOTO, EM ALVENARIA COM TIJOLOS CERÂMICOS MACIÇOS, DIÂMETRO INTERNO = 1,0 M, PROFUNDIDADE = 1,40 M, EXCLUINDO TAMPÃO. AF_12/2020_PA</t>
  </si>
  <si>
    <t xml:space="preserve"> 14.16 </t>
  </si>
  <si>
    <t xml:space="preserve"> 103007 </t>
  </si>
  <si>
    <t>CAIXA COM GRELHA RETANGULAR DE FERRO FUNDIDO, EM ALVENARIA COM TIJOLOS CERÂMICOS MACIÇOS, DIMENSÕES INTERNAS: 0,30 X 1,00 X 0,5 M. AF_08/2021</t>
  </si>
  <si>
    <t xml:space="preserve"> 14.17 </t>
  </si>
  <si>
    <t xml:space="preserve"> 14.18 </t>
  </si>
  <si>
    <t xml:space="preserve"> 141111 </t>
  </si>
  <si>
    <t>Caixa de areia em alv. de bloco de concreto 9x19x39, dim. 60x60cm e Hmáx=1m, c/ tampa em ferro fundido, lastro de concreto esp. 10cm, revest. int. c/ chapisco e reboco impermeabilizado, incl. escavação e reaterro</t>
  </si>
  <si>
    <t xml:space="preserve"> 14.19 </t>
  </si>
  <si>
    <t xml:space="preserve"> 141113 </t>
  </si>
  <si>
    <t>Caixa de gordura em alv. bloco 9x19x39cm, dim. 60x60cm e Hmáx=1.0m, c/ tampa de ferro fundido, lastro concr. esp. 10cm, revest. intern. c/ chapisco e reboco impermeab., escavação, reaterro e parede int. em concreto</t>
  </si>
  <si>
    <t xml:space="preserve"> 14.20 </t>
  </si>
  <si>
    <t xml:space="preserve"> 141110 </t>
  </si>
  <si>
    <t>Caixa de inspeção em alv. bloco concreto 9x19x39cm, dim. 60x60cm e Hmáx=1m, c/ tampa de ferro fundido 40x40cm, lastro de concreto esp.10cm, revest. interno c/ chapisco e reboco impermeabiliz, incl. escavação, reaterro e enchimento</t>
  </si>
  <si>
    <t xml:space="preserve"> 14.21 </t>
  </si>
  <si>
    <t xml:space="preserve"> 73714 </t>
  </si>
  <si>
    <t>CAIXA PARA RALO C OM GRELHA FOFO 135 KG DE ALV TIJOLO MACICO (7X10X20) PAREDES DE UMA VEZ (0.20 M) DE 0.90X1.20X1.50 M (EXTERNA) COM ARGAMASSA 1:4 CIMENTO:AREIA, BASE CONC FCK=10 MPA, EXCLUSIVE ESCAVACAO E REATERRO.</t>
  </si>
  <si>
    <t xml:space="preserve"> 14.22 </t>
  </si>
  <si>
    <t xml:space="preserve"> COMP-DRE-01 </t>
  </si>
  <si>
    <t>CAIXA PARA RALO C OM GRELHA FOFO 135 KG DE ALV TIJOLO MACICO (7X10X20) PAREDES DE UMA VEZ (0.20 M) DE 0.90X1.20X2,00M (EXTERNA) COM ARGAMASSA 1:4 CIMENTO:AREIA, BASE CONC FCK=10 MPA, EXCLUSIVE ESCAVACAO E REATERRO.</t>
  </si>
  <si>
    <t xml:space="preserve"> 14.23 </t>
  </si>
  <si>
    <t xml:space="preserve"> 141114 </t>
  </si>
  <si>
    <t>Caixa retentora de mat. sólida em alv. bloco conc.9x19x39cm, dim.60x60cm e Hmáx=1m, c/ tampa de ferro fund., lastro conc. esp.10cm, revest. int. c/ chap. e reb. impermeab., esc. reaterro e parede int. em concreto</t>
  </si>
  <si>
    <t xml:space="preserve"> 14.24 </t>
  </si>
  <si>
    <t xml:space="preserve"> 89482 </t>
  </si>
  <si>
    <t>CAIXA SIFONADA, PVC, DN 100 X 100 X 50 MM, FORNECIDA E INSTALADA EM RAMAIS DE ENCAMINHAMENTO DE ÁGUA PLUVIAL. AF_06/2022</t>
  </si>
  <si>
    <t xml:space="preserve"> 14.25 </t>
  </si>
  <si>
    <t xml:space="preserve"> 89491 </t>
  </si>
  <si>
    <t>CAIXA SIFONADA, PVC, DN 150 X 185 X 75 MM, FORNECIDA E INSTALADA EM RAMAIS DE ENCAMINHAMENTO DE ÁGUA PLUVIAL. AF_06/2022</t>
  </si>
  <si>
    <t xml:space="preserve"> 14.26 </t>
  </si>
  <si>
    <t xml:space="preserve"> 100434 </t>
  </si>
  <si>
    <t>CALHA DE BEIRAL, SEMICIRCULAR DE PVC, DIAMETRO 125 MM, INCLUINDO CABECEIRAS, EMENDAS, BOCAIS, SUPORTES E VEDAÇÕES, EXCLUINDO CONDUTORES, INCLUSO TRANSPORTE VERTICAL. AF_07/2019</t>
  </si>
  <si>
    <t xml:space="preserve"> 14.27 </t>
  </si>
  <si>
    <t xml:space="preserve"> 14.28 </t>
  </si>
  <si>
    <t xml:space="preserve"> 98050 </t>
  </si>
  <si>
    <t>CHAMINÉ CIRCULAR PARA POÇO DE VISITA PARA ESGOTO, EM CONCRETO PRÉ-MOLDADO, DIÂMETRO INTERNO = 0,6 M. AF_12/2020</t>
  </si>
  <si>
    <t xml:space="preserve"> 14.29 </t>
  </si>
  <si>
    <t xml:space="preserve"> 14.30 </t>
  </si>
  <si>
    <t xml:space="preserve"> 200243 </t>
  </si>
  <si>
    <t>Canaleta no piso em concreto simples com dimensões internas de 20 x 10 cm e grelha em ferro diam. 1/2" a cada 3 cm fixados em cantoneira de 3/4" x 1/8" apoiada sobre requadro em cantoneira de 1" x 3/16"</t>
  </si>
  <si>
    <t xml:space="preserve"> 14.31 </t>
  </si>
  <si>
    <t xml:space="preserve"> 14.32 </t>
  </si>
  <si>
    <t xml:space="preserve"> 90440 </t>
  </si>
  <si>
    <t>FURO EM CONCRETO PARA DIÂMETROS MAIORES QUE 40 MM E MENORES OU IGUAIS A 75 MM. AF_05/2015</t>
  </si>
  <si>
    <t xml:space="preserve"> 14.33 </t>
  </si>
  <si>
    <t xml:space="preserve"> 90441 </t>
  </si>
  <si>
    <t>FURO EM CONCRETO PARA DIÂMETROS MAIORES QUE 75 MM. AF_05/2015</t>
  </si>
  <si>
    <t xml:space="preserve"> 14.34 </t>
  </si>
  <si>
    <t xml:space="preserve"> 90373 </t>
  </si>
  <si>
    <t>JOELHO 90 GRAUS COM BUCHA DE LATÃO, PVC, SOLDÁVEL, DN 25MM, X 1/2  INSTALADO EM RAMAL OU SUB-RAMAL DE ÁGUA - FORNECIMENTO E INSTALAÇÃO. AF_06/2022</t>
  </si>
  <si>
    <t xml:space="preserve"> 14.35 </t>
  </si>
  <si>
    <t xml:space="preserve"> 89427 </t>
  </si>
  <si>
    <t>LUVA COM BUCHA DE LATÃO, PVC, SOLDÁVEL, DN 25MM X 3/4 , INSTALADO EM RAMAL DE DISTRIBUIÇÃO DE ÁGUA - FORNECIMENTO E INSTALAÇÃO. AF_06/2022</t>
  </si>
  <si>
    <t xml:space="preserve"> 14.36 </t>
  </si>
  <si>
    <t xml:space="preserve"> 89979 </t>
  </si>
  <si>
    <t>LUVA COM BUCHA DE LATÃO, PVC, SOLDÁVEL, DN 32MM X 1 , INSTALADO EM RAMAL OU SUB-RAMAL DE ÁGUA   FORNECIMENTO E INSTALAÇÃO. AF_06/2022</t>
  </si>
  <si>
    <t xml:space="preserve"> 14.37 </t>
  </si>
  <si>
    <t xml:space="preserve"> 14.38 </t>
  </si>
  <si>
    <t xml:space="preserve"> 14.39 </t>
  </si>
  <si>
    <t xml:space="preserve"> 14.40 </t>
  </si>
  <si>
    <t xml:space="preserve"> 14.41 </t>
  </si>
  <si>
    <t xml:space="preserve"> 140208 </t>
  </si>
  <si>
    <t>Padrão entrada d'água com caixa enterrada para hidrômetro com diâmetro de 1" - padrão 2B da CESAN. Caixa em alvenaria 60x80x40cm e com tampa articulada de ferro fundido, registro e conexões para instalação de hidrômetro. Conferir detalhe</t>
  </si>
  <si>
    <t xml:space="preserve"> 14.42 </t>
  </si>
  <si>
    <t xml:space="preserve"> 054046 </t>
  </si>
  <si>
    <t>RALO ABACAXI FERRO FUNDIDO 100mm</t>
  </si>
  <si>
    <t xml:space="preserve"> 14.43 </t>
  </si>
  <si>
    <t xml:space="preserve"> 170321 </t>
  </si>
  <si>
    <t>Registro de gaveta bruto diam. 25mm (1")</t>
  </si>
  <si>
    <t xml:space="preserve"> 14.44 </t>
  </si>
  <si>
    <t xml:space="preserve"> 170322 </t>
  </si>
  <si>
    <t>Registro de gaveta bruto diam. 32mm (11/4")</t>
  </si>
  <si>
    <t xml:space="preserve"> 14.45 </t>
  </si>
  <si>
    <t xml:space="preserve"> 170323 </t>
  </si>
  <si>
    <t>Registro de gaveta bruto diam. 40mm (11/2")</t>
  </si>
  <si>
    <t xml:space="preserve"> 14.46 </t>
  </si>
  <si>
    <t xml:space="preserve"> 98081 </t>
  </si>
  <si>
    <t>SUMIDOURO RETANGULAR, EM ALVENARIA COM TIJOLOS CERÂMICOS MACIÇOS, DIMENSÕES INTERNAS: 1,6 X 5,8 X H=3,0 M, ÁREA DE INFILTRAÇÃO: 50 M² (PARA 20 CONTRIBUINTES). AF_12/2020</t>
  </si>
  <si>
    <t xml:space="preserve"> 14.48 </t>
  </si>
  <si>
    <t xml:space="preserve"> 98114 </t>
  </si>
  <si>
    <t>TAMPA CIRCULAR PARA ESGOTO E DRENAGEM, EM FERRO FUNDIDO, DIÂMETRO INTERNO = 0,6 M. AF_12/2020</t>
  </si>
  <si>
    <t xml:space="preserve"> 14.49 </t>
  </si>
  <si>
    <t xml:space="preserve"> 89559 </t>
  </si>
  <si>
    <t>TÊ DE INSPEÇÃO, PVC, SERIE R, ÁGUA PLUVIAL, DN 100 MM, JUNTA ELÁSTICA, FORNECIDO E INSTALADO EM RAMAL DE ENCAMINHAMENTO. AF_06/2022</t>
  </si>
  <si>
    <t xml:space="preserve"> 14.50 </t>
  </si>
  <si>
    <t xml:space="preserve"> 142106 </t>
  </si>
  <si>
    <t>Sifão em PVC para tanque 2"</t>
  </si>
  <si>
    <t xml:space="preserve"> 14.51 </t>
  </si>
  <si>
    <t xml:space="preserve"> 14.52 </t>
  </si>
  <si>
    <t xml:space="preserve"> 14.53 </t>
  </si>
  <si>
    <t xml:space="preserve"> 14.54 </t>
  </si>
  <si>
    <t xml:space="preserve"> 95568 </t>
  </si>
  <si>
    <t>TUBO DE CONCRETO (SIMPLES) PARA REDES COLETORAS DE ÁGUAS PLUVIAIS, DIÂMETRO DE 400 MM, JUNTA RÍGIDA, INSTALADO EM LOCAL COM BAIXO NÍVEL DE INTERFERÊNCIAS - FORNECIMENTO E ASSENTAMENTO. AF_12/2015</t>
  </si>
  <si>
    <t xml:space="preserve"> 14.55 </t>
  </si>
  <si>
    <t xml:space="preserve"> 170309 </t>
  </si>
  <si>
    <t>Torneira para jardim de 3/4" marcas de referência Fabrimar, Deca ou Docol</t>
  </si>
  <si>
    <t xml:space="preserve"> 14.56 </t>
  </si>
  <si>
    <t xml:space="preserve"> 141214 </t>
  </si>
  <si>
    <t>Tubo de aço galvanizado, inclusive conexões, diâm. 40mm (11/2")</t>
  </si>
  <si>
    <t xml:space="preserve"> 14.57 </t>
  </si>
  <si>
    <t xml:space="preserve"> 141215 </t>
  </si>
  <si>
    <t>Tubo de aço galvanizado, inclusive conexões, diâm. 50mm (2")</t>
  </si>
  <si>
    <t xml:space="preserve"> 14.58 </t>
  </si>
  <si>
    <t xml:space="preserve"> 95567 </t>
  </si>
  <si>
    <t>TUBO DE CONCRETO (SIMPLES) PARA REDES COLETORAS DE ÁGUAS PLUVIAIS, DIÂMETRO DE 300 MM, JUNTA RÍGIDA, INSTALADO EM LOCAL COM BAIXO NÍVEL DE INTERFERÊNCIAS - FORNECIMENTO E ASSENTAMENTO. AF_12/2015</t>
  </si>
  <si>
    <t xml:space="preserve"> 14.59 </t>
  </si>
  <si>
    <t xml:space="preserve"> 14.60 </t>
  </si>
  <si>
    <t xml:space="preserve"> 92212 </t>
  </si>
  <si>
    <t>TUBO DE CONCRETO PARA REDES COLETORAS DE ÁGUAS PLUVIAIS, DIÂMETRO DE 600 MM, JUNTA RÍGIDA, INSTALADO EM LOCAL COM BAIXO NÍVEL DE INTERFERÊNCIAS - FORNECIMENTO E ASSENTAMENTO. AF_12/2015</t>
  </si>
  <si>
    <t xml:space="preserve"> 14.61 </t>
  </si>
  <si>
    <t xml:space="preserve"> 141909 </t>
  </si>
  <si>
    <t>Tubo de PVC rígido soldável branco, para esgoto, série normal, diâmetro 100mm (4"), inclusive conexões</t>
  </si>
  <si>
    <t xml:space="preserve"> 14.62 </t>
  </si>
  <si>
    <t xml:space="preserve"> 141906 </t>
  </si>
  <si>
    <t>Tubo de PVC rígido soldável branco, para esgoto, série normal, diâmetro 40mm (1 1/2"), inclusive conexões</t>
  </si>
  <si>
    <t xml:space="preserve"> 14.63 </t>
  </si>
  <si>
    <t xml:space="preserve"> 141907 </t>
  </si>
  <si>
    <t>Tubo de PVC rígido soldável branco, para esgoto, série normal, diâmetro 50mm (2"), inclusive conexões</t>
  </si>
  <si>
    <t xml:space="preserve"> 14.64 </t>
  </si>
  <si>
    <t xml:space="preserve"> 141908 </t>
  </si>
  <si>
    <t>Tubo de PVC rígido soldável branco, para esgoto, série normal, diâmetro 75mm (3"), inclusive conexões</t>
  </si>
  <si>
    <t xml:space="preserve"> 14.65 </t>
  </si>
  <si>
    <t xml:space="preserve"> 141411 </t>
  </si>
  <si>
    <t>Tubo de PVC rígido soldável marrom, DN 32mm (1"), inclusive conexões</t>
  </si>
  <si>
    <t xml:space="preserve"> 141410 </t>
  </si>
  <si>
    <t>Tubo de PVC rígido soldável marrom, DN 25mm (3/4"), inclusive conexões</t>
  </si>
  <si>
    <t xml:space="preserve"> 14.67 </t>
  </si>
  <si>
    <t xml:space="preserve"> 190028 </t>
  </si>
  <si>
    <t>VALVULA PARA MICTORIO</t>
  </si>
  <si>
    <t xml:space="preserve"> 14.68 </t>
  </si>
  <si>
    <t xml:space="preserve"> 141413 </t>
  </si>
  <si>
    <t>Tubo de PVC rígido soldável marrom, DN 50mm (1.1/2"), inclusive conexões</t>
  </si>
  <si>
    <t xml:space="preserve"> 14.69 </t>
  </si>
  <si>
    <t xml:space="preserve"> 140903 </t>
  </si>
  <si>
    <t>Tubo PVC rígido para esgoto no diâmetro de 100mm incluindo escavação e aterro com areia</t>
  </si>
  <si>
    <t xml:space="preserve"> 14.70 </t>
  </si>
  <si>
    <t xml:space="preserve"> 140904 </t>
  </si>
  <si>
    <t>Tubo PVC rígido para esgoto no diâmetro de 150mm incluindo escavação e aterro com areia</t>
  </si>
  <si>
    <t xml:space="preserve"> 14.71 </t>
  </si>
  <si>
    <t xml:space="preserve"> 140905 </t>
  </si>
  <si>
    <t>Tubo PVC rígido para esgoto no diâmetro de 200mm incluindo escavação e aterro com areia</t>
  </si>
  <si>
    <t xml:space="preserve"> 14.72 </t>
  </si>
  <si>
    <t xml:space="preserve"> 14.73 </t>
  </si>
  <si>
    <t xml:space="preserve"> 170335 </t>
  </si>
  <si>
    <t>Válvula de retenção horizontal ou vertical, diam. 32mm (11/4")</t>
  </si>
  <si>
    <t xml:space="preserve"> 15 </t>
  </si>
  <si>
    <t>INSTALAÇÕES ELÉTRICAS</t>
  </si>
  <si>
    <t xml:space="preserve"> 15.2 </t>
  </si>
  <si>
    <t xml:space="preserve"> 151603 </t>
  </si>
  <si>
    <t>Abertura e fechamento de rasgos em alvenaria, para passagem de eletroduto diâm. 2 1/2" a 4"</t>
  </si>
  <si>
    <t xml:space="preserve"> 15.3 </t>
  </si>
  <si>
    <t xml:space="preserve"> 151601 </t>
  </si>
  <si>
    <t>Abertura e fechamento de rasgos em alvenaria, para passagem de eletrodutos diâm. 1/2" a 1"</t>
  </si>
  <si>
    <t xml:space="preserve"> 15.4 </t>
  </si>
  <si>
    <t xml:space="preserve"> 151605 </t>
  </si>
  <si>
    <t>Abertura e fechamento de rasgos em concreto, para passagem de eletroduto diâm. 1 1/4" a 2"</t>
  </si>
  <si>
    <t xml:space="preserve"> 15.5 </t>
  </si>
  <si>
    <t xml:space="preserve"> 151604 </t>
  </si>
  <si>
    <t>Abertura e fechamento de rasgos em concreto, para passagem de eletroduto diâm. 1/2" a 1"</t>
  </si>
  <si>
    <t xml:space="preserve"> 15.6 </t>
  </si>
  <si>
    <t xml:space="preserve"> 151606 </t>
  </si>
  <si>
    <t>Abertura e fechamento de rasgos em concreto, para passagem de eletroduto diâm. 2 1/2" a 4"</t>
  </si>
  <si>
    <t xml:space="preserve"> 15.7 </t>
  </si>
  <si>
    <t xml:space="preserve"> 150937 </t>
  </si>
  <si>
    <t>Arame de aço 14 BWG para guia</t>
  </si>
  <si>
    <t xml:space="preserve"> 15.8 </t>
  </si>
  <si>
    <t xml:space="preserve"> 150906 </t>
  </si>
  <si>
    <t>Arame galvanizado 12 BWG (0.048 kg/m)</t>
  </si>
  <si>
    <t xml:space="preserve"> 15.9 </t>
  </si>
  <si>
    <t xml:space="preserve"> COMP-IL-06 </t>
  </si>
  <si>
    <t>ARANDELA WALL MICRO FACHO ABERTO NA COR PRETO , 2,5 W , 3000K , IP 65 .  REF : STH 21728PTO/30 MARCA STELLA OU EQUIVALENTE</t>
  </si>
  <si>
    <t xml:space="preserve"> 15.10 </t>
  </si>
  <si>
    <t xml:space="preserve"> 101568 </t>
  </si>
  <si>
    <t>CABO DE COBRE FLEXÍVEL ISOLADO, 120 MM², 0,6/1,0 KV, PARA REDE AÉREA DE DISTRIBUIÇÃO DE ENERGIA ELÉTRICA DE BAIXA TENSÃO - FORNECIMENTO E INSTALAÇÃO. AF_07/2020</t>
  </si>
  <si>
    <t xml:space="preserve"> 15.11 </t>
  </si>
  <si>
    <t xml:space="preserve"> 101563 </t>
  </si>
  <si>
    <t>CABO DE COBRE FLEXÍVEL ISOLADO, 35 MM², 0,6/1,0 KV, PARA REDE AÉREA DE DISTRIBUIÇÃO DE ENERGIA ELÉTRICA DE BAIXA TENSÃO - FORNECIMENTO E INSTALAÇÃO. AF_07/2020</t>
  </si>
  <si>
    <t xml:space="preserve"> 15.12 </t>
  </si>
  <si>
    <t xml:space="preserve"> 101564 </t>
  </si>
  <si>
    <t>CABO DE COBRE FLEXÍVEL ISOLADO, 50 MM², 0,6/1,0 KV, PARA REDE AÉREA DE DISTRIBUIÇÃO DE ENERGIA ELÉTRICA DE BAIXA TENSÃO - FORNECIMENTO E INSTALAÇÃO. AF_07/2020</t>
  </si>
  <si>
    <t xml:space="preserve"> 15.13 </t>
  </si>
  <si>
    <t xml:space="preserve"> 101567 </t>
  </si>
  <si>
    <t>CABO DE COBRE FLEXÍVEL ISOLADO, 95 MM², 0,6/1,0 KV, PARA REDE AÉREA DE DISTRIBUIÇÃO DE ENERGIA ELÉTRICA DE BAIXA TENSÃO - FORNECIMENTO E INSTALAÇÃO. AF_07/2020</t>
  </si>
  <si>
    <t xml:space="preserve"> 15.14 </t>
  </si>
  <si>
    <t xml:space="preserve"> 160318 </t>
  </si>
  <si>
    <t>Cabo de cobre nú 35mm2, ref. TEL 5735, marca de referência Termotécnica ou equivalente</t>
  </si>
  <si>
    <t xml:space="preserve"> 15.15 </t>
  </si>
  <si>
    <t xml:space="preserve"> 151420 </t>
  </si>
  <si>
    <t>Cabo de cobre termoplástico (PVC) flexível isolado 0,6/1kV, anti-chama 90ºC HEPR - 10,0 mm2</t>
  </si>
  <si>
    <t xml:space="preserve"> 15.16 </t>
  </si>
  <si>
    <t xml:space="preserve"> 151427 </t>
  </si>
  <si>
    <t>Cabo de cobre termoplástico (PVC) flexível isolado 0,6/1kV, anti-chama 90ºC HEPR - 120,0 mm2</t>
  </si>
  <si>
    <t xml:space="preserve"> 15.17 </t>
  </si>
  <si>
    <t xml:space="preserve"> 151421 </t>
  </si>
  <si>
    <t>Cabo de cobre termoplástico (PVC) flexível isolado 0,6/1kV, anti-chama 90ºC HEPR - 16,0 mm2</t>
  </si>
  <si>
    <t xml:space="preserve"> 15.18 </t>
  </si>
  <si>
    <t xml:space="preserve"> 151417 </t>
  </si>
  <si>
    <t>Cabo de cobre termoplástico (PVC) flexível isolado 0,6/1KV, anti-chama 90ºC HEPR - 2,5mm2</t>
  </si>
  <si>
    <t xml:space="preserve"> 15.19 </t>
  </si>
  <si>
    <t xml:space="preserve"> 151422 </t>
  </si>
  <si>
    <t>Cabo de cobre termoplástico (PVC) flexível isolado 0,6/1kV, anti-chama 90ºC HEPR - 25,0 mm2</t>
  </si>
  <si>
    <t xml:space="preserve"> 15.20 </t>
  </si>
  <si>
    <t xml:space="preserve"> 151428 </t>
  </si>
  <si>
    <t>Cabo de cobre termoplástico (PVC) flexível isolado 0,6/1kV, anti-chama 90ºC HEPR - 300,0 mm2</t>
  </si>
  <si>
    <t xml:space="preserve"> 15.21 </t>
  </si>
  <si>
    <t xml:space="preserve"> 151423 </t>
  </si>
  <si>
    <t>Cabo de cobre termoplástico (PVC) flexível isolado 0,6/1kV, anti-chama 90ºC HEPR - 35,0 mm2</t>
  </si>
  <si>
    <t xml:space="preserve"> 15.22 </t>
  </si>
  <si>
    <t xml:space="preserve"> 151418 </t>
  </si>
  <si>
    <t>Cabo de cobre termoplástico (PVC) flexível isolado 0,6/1kV, anti-chama 90ºC HEPR - 4,0 mm2</t>
  </si>
  <si>
    <t xml:space="preserve"> 15.23 </t>
  </si>
  <si>
    <t xml:space="preserve"> 151425 </t>
  </si>
  <si>
    <t>Cabo de cobre termoplástico (PVC) flexível isolado 0,6/1kV, anti-chama 90ºC HEPR - 50,0 mm2</t>
  </si>
  <si>
    <t xml:space="preserve"> 15.24 </t>
  </si>
  <si>
    <t xml:space="preserve"> 151419 </t>
  </si>
  <si>
    <t>Cabo de cobre termoplástico (PVC) flexível isolado 0,6/1kV, anti-chama 90ºC HEPR - 6,0 mm2</t>
  </si>
  <si>
    <t xml:space="preserve"> 15.25 </t>
  </si>
  <si>
    <t xml:space="preserve"> 151429 </t>
  </si>
  <si>
    <t>Cabo de cobre termoplástico (PVC) flexível isolado 0,6/1kV, anti-chama 90ºC HEPR - 70,0 mm2</t>
  </si>
  <si>
    <t xml:space="preserve"> 15.26 </t>
  </si>
  <si>
    <t xml:space="preserve"> 151426 </t>
  </si>
  <si>
    <t>Cabo de cobre termoplástico (PVC) flexível isolado 0,6/1kV, anti-chama 90ºC HEPR - 95,0 mm2</t>
  </si>
  <si>
    <t xml:space="preserve"> 15.27 </t>
  </si>
  <si>
    <t xml:space="preserve"> 151430 </t>
  </si>
  <si>
    <t>Cabo de cobre termoplástico (PVC) flexível isolado 0,6/1kV, anti-chama 90ºC HEPR - 150,0 mm2</t>
  </si>
  <si>
    <t xml:space="preserve"> 15.28 </t>
  </si>
  <si>
    <t xml:space="preserve"> 151407 </t>
  </si>
  <si>
    <t>Cabo de cobre termoplástico, com isolamento para 750V, seção de 25.0 mm2</t>
  </si>
  <si>
    <t xml:space="preserve"> 15.29 </t>
  </si>
  <si>
    <t xml:space="preserve"> 063511 </t>
  </si>
  <si>
    <t>CABO PP CORDPLAST 3 CONDUTORES 450/750V 1,50mm2</t>
  </si>
  <si>
    <t xml:space="preserve"> 15.30 </t>
  </si>
  <si>
    <t xml:space="preserve"> COMP-BAR-01 </t>
  </si>
  <si>
    <t>Caixa de barramentos 3F+N para In=1.000A, conforme detalhes</t>
  </si>
  <si>
    <t xml:space="preserve"> 15.31 </t>
  </si>
  <si>
    <t xml:space="preserve"> 150628 </t>
  </si>
  <si>
    <t>Caixa de embutir marca de referência Tigreflex, 4x2"</t>
  </si>
  <si>
    <t xml:space="preserve"> 15.32 </t>
  </si>
  <si>
    <t xml:space="preserve"> 150629 </t>
  </si>
  <si>
    <t>Caixa de embutir marca de referência Tigreflex, 4x4"</t>
  </si>
  <si>
    <t xml:space="preserve"> 15.33 </t>
  </si>
  <si>
    <t xml:space="preserve"> 150803 </t>
  </si>
  <si>
    <t>Caixa de ligação de alumínio silício, tipo CONDULETES, sem rosca, no formato T, inclusive tampa com vedação, diâmetro 3/4"</t>
  </si>
  <si>
    <t xml:space="preserve"> 15.34 </t>
  </si>
  <si>
    <t xml:space="preserve"> 150802 </t>
  </si>
  <si>
    <t>Caixa de ligação de alumínio silício, tipo CONDULETES,sem rosca, no formato B, inclusive tampa com vedação, diâmetro 3/4"</t>
  </si>
  <si>
    <t xml:space="preserve"> 15.35 </t>
  </si>
  <si>
    <t xml:space="preserve"> 150632 </t>
  </si>
  <si>
    <t>Caixa de passagem 150x150x80mm, chapa 18, com tampa parafusada</t>
  </si>
  <si>
    <t xml:space="preserve"> 15.36 </t>
  </si>
  <si>
    <t xml:space="preserve"> 150633 </t>
  </si>
  <si>
    <t>Caixa de passagem 200x200x100mm, chapa 18, com tampa parafusada</t>
  </si>
  <si>
    <t xml:space="preserve"> 15.37 </t>
  </si>
  <si>
    <t xml:space="preserve"> 150615 </t>
  </si>
  <si>
    <t>Caixa de passagem de alvenaria de blocos de concreto 9x19x39cm, dimensões de 40x40x50cm, com revestimento interno em chapisco e reboco, tampa de concreto esp.5cm e lastro de brita 5 cm</t>
  </si>
  <si>
    <t xml:space="preserve"> 15.38 </t>
  </si>
  <si>
    <t xml:space="preserve"> 150616 </t>
  </si>
  <si>
    <t>Caixa de passagem de alvenaria de blocos de concreto 9x19x39cm, dimensões de 50x50x50cm, com revestimento interno em chapisco e reboco, tampa de concreto esp.5cm e lastro de brita 5 cm</t>
  </si>
  <si>
    <t xml:space="preserve"> 15.39 </t>
  </si>
  <si>
    <t xml:space="preserve"> 180809 </t>
  </si>
  <si>
    <t>Chuveiro elétrico tipo ducha Lorenzet ou Corona</t>
  </si>
  <si>
    <t xml:space="preserve"> 15.40 </t>
  </si>
  <si>
    <t xml:space="preserve"> 063459 </t>
  </si>
  <si>
    <t>CONECTOR MODULAR PLUG FEMEA 2P + T</t>
  </si>
  <si>
    <t xml:space="preserve"> 15.41 </t>
  </si>
  <si>
    <t xml:space="preserve"> 062602 </t>
  </si>
  <si>
    <t>CONECTOR MODULAR PLUG MACHO 10X10</t>
  </si>
  <si>
    <t xml:space="preserve"> 15.42 </t>
  </si>
  <si>
    <t xml:space="preserve"> 152031 </t>
  </si>
  <si>
    <t>Conector split bolt para cabo de 35.0 mm2</t>
  </si>
  <si>
    <t xml:space="preserve"> 15.43 </t>
  </si>
  <si>
    <t xml:space="preserve"> 150875 </t>
  </si>
  <si>
    <t>Curva horizontal 90º para eletrocalha metálica, 200x100mm, galvanizada, ref. MEGA MG 2510</t>
  </si>
  <si>
    <t xml:space="preserve"> 15.44 </t>
  </si>
  <si>
    <t xml:space="preserve"> 150836 </t>
  </si>
  <si>
    <t>Eletrocalha perfurada em chapa de aço galvanizado nº16, 200x100mm, sem tampa</t>
  </si>
  <si>
    <t xml:space="preserve"> 15.45 </t>
  </si>
  <si>
    <t xml:space="preserve"> 150838 </t>
  </si>
  <si>
    <t>Eletrocalha perfurada em chapa de aço galvanizado nº16, 400x100mm, sem tampa</t>
  </si>
  <si>
    <t xml:space="preserve"> 15.46 </t>
  </si>
  <si>
    <t xml:space="preserve"> 150801 </t>
  </si>
  <si>
    <t>Eletroduto aparente de PVC rígido roscável diâmetro 3/4", inclusive abraçadeira de fixação</t>
  </si>
  <si>
    <t xml:space="preserve"> 15.47 </t>
  </si>
  <si>
    <t xml:space="preserve"> 151129 </t>
  </si>
  <si>
    <t>Eletroduto de PVC rígido roscável, diâm. 1 1/2" (50mm), inclusive conexões</t>
  </si>
  <si>
    <t xml:space="preserve"> 15.48 </t>
  </si>
  <si>
    <t xml:space="preserve"> 151128 </t>
  </si>
  <si>
    <t>Eletroduto de PVC rígido roscável, diâm. 1 1/4" (40mm), inclusive conexões</t>
  </si>
  <si>
    <t xml:space="preserve"> 15.49 </t>
  </si>
  <si>
    <t xml:space="preserve"> 151127 </t>
  </si>
  <si>
    <t>Eletroduto de PVC rígido roscável, diâm. 1" (32mm), inclusive conexões</t>
  </si>
  <si>
    <t xml:space="preserve"> 15.50 </t>
  </si>
  <si>
    <t xml:space="preserve"> 151130 </t>
  </si>
  <si>
    <t>Eletroduto de PVC rígido roscável, diâm. 2" (60mm), inclusive conexões</t>
  </si>
  <si>
    <t xml:space="preserve"> 15.51 </t>
  </si>
  <si>
    <t xml:space="preserve"> 151126 </t>
  </si>
  <si>
    <t>Eletroduto de PVC rígido roscável, diâm. 3/4" (25mm), inclusive conexões</t>
  </si>
  <si>
    <t xml:space="preserve"> 15.52 </t>
  </si>
  <si>
    <t xml:space="preserve"> 151136 </t>
  </si>
  <si>
    <t>Eletroduto de PVC rígido roscável, diâm. 6" (164mm), inclusive conexões</t>
  </si>
  <si>
    <t xml:space="preserve"> 15.53 </t>
  </si>
  <si>
    <t xml:space="preserve"> 151133 </t>
  </si>
  <si>
    <t>Eletroduto flexível corrugado 1", marca de referência TIGRE</t>
  </si>
  <si>
    <t xml:space="preserve"> 15.54 </t>
  </si>
  <si>
    <t xml:space="preserve"> 151132 </t>
  </si>
  <si>
    <t>Eletroduto flexível corrugado 3/4" , marca de referência TIGRE</t>
  </si>
  <si>
    <t xml:space="preserve"> 15.55 </t>
  </si>
  <si>
    <t xml:space="preserve"> 151138 </t>
  </si>
  <si>
    <t>Eletroduto PEAD, cor preta, diam. 1.1/4", marca ref. Kanaflex ou equivalente</t>
  </si>
  <si>
    <t xml:space="preserve"> 15.56 </t>
  </si>
  <si>
    <t xml:space="preserve"> 151139 </t>
  </si>
  <si>
    <t>Eletroduto PEAD, cor preta, diam. 2", marca ref. Kanaflex ou equivalente</t>
  </si>
  <si>
    <t xml:space="preserve"> 15.57 </t>
  </si>
  <si>
    <t xml:space="preserve"> 151140 </t>
  </si>
  <si>
    <t>Eletroduto PEAD, cor preta, diam. 3", marca ref. Kanaflex ou equivalente</t>
  </si>
  <si>
    <t xml:space="preserve"> 15.58 </t>
  </si>
  <si>
    <t xml:space="preserve"> 151141 </t>
  </si>
  <si>
    <t>Eletroduto PEAD, cor preta, diam. 4", marca ref. Kanaflex ou equivalente</t>
  </si>
  <si>
    <t xml:space="preserve"> 15.59 </t>
  </si>
  <si>
    <t xml:space="preserve"> 151142 </t>
  </si>
  <si>
    <t>Eletroduto PEAD, cor preta, diam. 6", marca ref. Kanaflex ou equivalente</t>
  </si>
  <si>
    <t xml:space="preserve"> 15.60 </t>
  </si>
  <si>
    <t xml:space="preserve"> 150701 </t>
  </si>
  <si>
    <t>Envelopamento de concreto simples com consumo mínimo de cimento de 250kg/m3, inclusive escavação para profundidade mínima do eletroduto de 50 cm, de 25 x 25 cm, para 1 eletroduto</t>
  </si>
  <si>
    <t xml:space="preserve"> 15.61 </t>
  </si>
  <si>
    <t xml:space="preserve"> 150702 </t>
  </si>
  <si>
    <t>Envelopamento de concreto simples com consumo mínimo de cimento de 250kg/m3, inclusive escavação para profundidade mínima do eletroduto de 50 cm, de 25 x 30 cm, para 2 eletrodutos</t>
  </si>
  <si>
    <t xml:space="preserve"> 15.62 </t>
  </si>
  <si>
    <t xml:space="preserve"> COMP-IL-03 </t>
  </si>
  <si>
    <t>ESPETO DE JARDIM MODELO FOCCO NA COR PRETO 3W , 3000K , IP 67 , REF : STH 7702/30 MARCA STELLA OU EQUIVALENTE</t>
  </si>
  <si>
    <t xml:space="preserve"> 15.63 </t>
  </si>
  <si>
    <t xml:space="preserve"> 151401 </t>
  </si>
  <si>
    <t>Fio de cobre termoplástico, com isolamento para 750V, seção de 1.5 mm2</t>
  </si>
  <si>
    <t xml:space="preserve"> 15.64 </t>
  </si>
  <si>
    <t xml:space="preserve"> 151402 </t>
  </si>
  <si>
    <t>Fio de cobre termoplástico, com isolamento para 750V, seção de 2.5 mm2</t>
  </si>
  <si>
    <t xml:space="preserve"> 15.65 </t>
  </si>
  <si>
    <t xml:space="preserve"> 151405 </t>
  </si>
  <si>
    <t>Fio ou cabo de cobre termoplástico, com isolamento para 750V, seção de 10.0 mm2</t>
  </si>
  <si>
    <t xml:space="preserve"> 15.66 </t>
  </si>
  <si>
    <t xml:space="preserve"> 151406 </t>
  </si>
  <si>
    <t>Fio ou cabo de cobre termoplástico, com isolamento para 750V, seção de 16.0 mm2</t>
  </si>
  <si>
    <t xml:space="preserve"> 15.67 </t>
  </si>
  <si>
    <t xml:space="preserve"> 151403 </t>
  </si>
  <si>
    <t>Fio ou cabo de cobre termoplástico, com isolamento para 750V, seção de 4.0 mm2</t>
  </si>
  <si>
    <t xml:space="preserve"> 15.68 </t>
  </si>
  <si>
    <t xml:space="preserve"> 151404 </t>
  </si>
  <si>
    <t>Fio ou cabo de cobre termoplástico, com isolamento para 750V, seção de 6.0 mm2</t>
  </si>
  <si>
    <t xml:space="preserve"> 15.69 </t>
  </si>
  <si>
    <t xml:space="preserve"> 150918 </t>
  </si>
  <si>
    <t>Fita isolante em rolo de 19mm x 20 m, número 33 Scoth ou equivalente</t>
  </si>
  <si>
    <t xml:space="preserve"> 15.70 </t>
  </si>
  <si>
    <t xml:space="preserve"> 90437 </t>
  </si>
  <si>
    <t>FURO EM ALVENARIA PARA DIÂMETROS MAIORES QUE 40 MM E MENORES OU IGUAIS A 75 MM. AF_05/2015</t>
  </si>
  <si>
    <t xml:space="preserve"> 15.71 </t>
  </si>
  <si>
    <t xml:space="preserve"> 90438 </t>
  </si>
  <si>
    <t>FURO EM ALVENARIA PARA DIÂMETROS MAIORES QUE 75 MM. AF_05/2015</t>
  </si>
  <si>
    <t xml:space="preserve"> 15.72 </t>
  </si>
  <si>
    <t xml:space="preserve"> 90436 </t>
  </si>
  <si>
    <t>FURO EM ALVENARIA PARA DIÂMETROS MENORES OU IGUAIS A 40 MM. AF_05/2015</t>
  </si>
  <si>
    <t xml:space="preserve"> 15.73 </t>
  </si>
  <si>
    <t xml:space="preserve"> 15.74 </t>
  </si>
  <si>
    <t xml:space="preserve"> 15.75 </t>
  </si>
  <si>
    <t xml:space="preserve"> 90439 </t>
  </si>
  <si>
    <t>FURO EM CONCRETO PARA DIÂMETROS MENORES OU IGUAIS A 40 MM. AF_05/2015</t>
  </si>
  <si>
    <t xml:space="preserve"> 15.76 </t>
  </si>
  <si>
    <t xml:space="preserve"> COMP-EL-06 </t>
  </si>
  <si>
    <t>Interruptor de 1 seção + tomada 2P+T 10A em condulete de alumínio fundido 3/4"</t>
  </si>
  <si>
    <t xml:space="preserve"> 15.77 </t>
  </si>
  <si>
    <t xml:space="preserve"> COMP-EL-01 </t>
  </si>
  <si>
    <t>Interruptor de 2 seções 10A em condulete de alumínio fundido 3/4"</t>
  </si>
  <si>
    <t xml:space="preserve"> 15.78 </t>
  </si>
  <si>
    <t xml:space="preserve"> COMP-EL-02 </t>
  </si>
  <si>
    <t>Interruptor de 3 seções 10A em condulete de alumínio fundido 3/4"</t>
  </si>
  <si>
    <t xml:space="preserve"> 15.79 </t>
  </si>
  <si>
    <t xml:space="preserve"> COMP-EL-05 </t>
  </si>
  <si>
    <t>Interruptor paralelo + 1 simples 10A em condulete de alumínio fundido 3/4</t>
  </si>
  <si>
    <t xml:space="preserve"> 15.80 </t>
  </si>
  <si>
    <t xml:space="preserve"> COMP-EL-07 </t>
  </si>
  <si>
    <t>Interruptor paralelo + tomada 2P+T 10A em condulete de alumínio fundido 3/4"</t>
  </si>
  <si>
    <t xml:space="preserve"> 15.81 </t>
  </si>
  <si>
    <t xml:space="preserve"> COMP-EL-03 </t>
  </si>
  <si>
    <t>Interruptor paralelo 10A em condulete de alumínio fundido 3/4"</t>
  </si>
  <si>
    <t xml:space="preserve"> 15.82 </t>
  </si>
  <si>
    <t xml:space="preserve"> 062871 </t>
  </si>
  <si>
    <t>INTERRUPTOR SIMPLES 10A EM CONDULETE DE ALUMINIO</t>
  </si>
  <si>
    <t xml:space="preserve"> 15.83 </t>
  </si>
  <si>
    <t xml:space="preserve"> COMP-EL-04 </t>
  </si>
  <si>
    <t>Interruptores  paralelo ( 2 seções) 10A em condulete de alumínio fundido 3/4"</t>
  </si>
  <si>
    <t xml:space="preserve"> 15.84 </t>
  </si>
  <si>
    <t xml:space="preserve"> 150866 </t>
  </si>
  <si>
    <t>Junção simples para eletrocalha metálica 200x100mm, galvanizada, ref. Mega MG 2760 ou equivalente</t>
  </si>
  <si>
    <t xml:space="preserve"> 15.85 </t>
  </si>
  <si>
    <t xml:space="preserve"> 97607 </t>
  </si>
  <si>
    <t>LUMINÁRIA ARANDELA TIPO TARTARUGA, DE SOBREPOR, COM 1 LÂMPADA LED DE 6 W, SEM REATOR - FORNECIMENTO E INSTALAÇÃO. AF_02/2020</t>
  </si>
  <si>
    <t xml:space="preserve"> 15.86 </t>
  </si>
  <si>
    <t xml:space="preserve"> COMP-IL-01 </t>
  </si>
  <si>
    <t>LUMINÁRIA DE EMBUTIR EM FORRO ,  TIPO PAINEL DE LED (617x617)mm , MODELO LHT44-E4000850 LUMICENTER OU EQUIVALENTE</t>
  </si>
  <si>
    <t xml:space="preserve"> 15.87 </t>
  </si>
  <si>
    <t xml:space="preserve"> COMP-IL-02 </t>
  </si>
  <si>
    <t>LUMINÁRIA DE SOBREPOR HERMÉTICA DE LED , IP-54 , AFIXADA EM TETO  MODELO EHT10-S3500850 LUMICENTER OU EQUIVALENTE</t>
  </si>
  <si>
    <t xml:space="preserve"> 15.88 </t>
  </si>
  <si>
    <t xml:space="preserve"> 151329 </t>
  </si>
  <si>
    <t>Mini-Disjuntor tripolar 32 A, curva C - 5KA 220/127VCA (NBR IEC 60947-2), Ref. Siemens, GE, Schneider ou equivalente</t>
  </si>
  <si>
    <t xml:space="preserve"> 15.89 </t>
  </si>
  <si>
    <t xml:space="preserve"> 151311 </t>
  </si>
  <si>
    <t>Mini-Disjuntor tripolar 50 A, curva C - 5KA 220/127VCA (NBR IEC 60947-2), Ref. Siemens, GE, Schneider ou equivalente</t>
  </si>
  <si>
    <t xml:space="preserve"> 15.90 </t>
  </si>
  <si>
    <t xml:space="preserve"> COMP-IL-04 </t>
  </si>
  <si>
    <t>POSTE BALIZADOR QUADRADO NA COR PRETO 2,5W , 2700K , IP 66 , DIM (7,6x7,6)cm , REF : INTERLIGHT OU EQUIVALENTE</t>
  </si>
  <si>
    <t xml:space="preserve"> 15.91 </t>
  </si>
  <si>
    <t xml:space="preserve"> COMP-QD-07 </t>
  </si>
  <si>
    <t>QAC-A - Quadro de distribuição de energia  completo, conforme detalhes na prancha 09</t>
  </si>
  <si>
    <t xml:space="preserve"> 15.92 </t>
  </si>
  <si>
    <t xml:space="preserve"> COMP-QD-08 </t>
  </si>
  <si>
    <t>QAC-B - Quadro de distribuição de energia  completo, conforme detalhes na prancha 09</t>
  </si>
  <si>
    <t xml:space="preserve"> 15.93 </t>
  </si>
  <si>
    <t xml:space="preserve"> COMP-QD-11 </t>
  </si>
  <si>
    <t>QAC-C - Quadro de distribuição de energia  completo, conforme detalhes na prancha 09</t>
  </si>
  <si>
    <t xml:space="preserve"> 15.94 </t>
  </si>
  <si>
    <t xml:space="preserve"> COMP-QD-01 </t>
  </si>
  <si>
    <t>QD-A21 - Quadro de distribuição de energia ,  completo, conforme detalhes na prancha 09</t>
  </si>
  <si>
    <t xml:space="preserve"> 15.95 </t>
  </si>
  <si>
    <t xml:space="preserve"> COMP-QD-02 </t>
  </si>
  <si>
    <t>QD-A22 - Quadro de distribuição de energia ,  completo, conforme detalhes na prancha 09</t>
  </si>
  <si>
    <t xml:space="preserve"> 15.96 </t>
  </si>
  <si>
    <t xml:space="preserve"> COMP-QD-03 </t>
  </si>
  <si>
    <t>QD-A23 - Quadro de distribuição de energia ,  completo, conforme detalhes na prancha 09</t>
  </si>
  <si>
    <t xml:space="preserve"> 15.97 </t>
  </si>
  <si>
    <t xml:space="preserve"> COMP-QD-04 </t>
  </si>
  <si>
    <t>QD-A31 - Quadro de distribuição de energia ,  completo, conforme detalhes na prancha 09</t>
  </si>
  <si>
    <t xml:space="preserve"> 15.98 </t>
  </si>
  <si>
    <t xml:space="preserve"> COMP-QD-05 </t>
  </si>
  <si>
    <t>QD-A32 - Quadro de distribuição de energia ,  completo, conforme detalhes na prancha 09</t>
  </si>
  <si>
    <t xml:space="preserve"> 15.99 </t>
  </si>
  <si>
    <t xml:space="preserve"> COMP-QD-06 </t>
  </si>
  <si>
    <t>QD-A33 - Quadro de distribuição de energia ,  completo, conforme detalhes na prancha 09</t>
  </si>
  <si>
    <t xml:space="preserve"> 15.100 </t>
  </si>
  <si>
    <t xml:space="preserve"> COMP-QD-09 </t>
  </si>
  <si>
    <t>QD-BS1 - Quadro de distribuição de energia  completo, conforme detalhes na prancha 09</t>
  </si>
  <si>
    <t xml:space="preserve"> 15.101 </t>
  </si>
  <si>
    <t xml:space="preserve"> COMP-QD-10 </t>
  </si>
  <si>
    <t>QD-BS2 - Quadro de distribuição de energia  completo, conforme detalhes na prancha 09</t>
  </si>
  <si>
    <t xml:space="preserve"> 15.102 </t>
  </si>
  <si>
    <t xml:space="preserve"> COMP-QD-12 </t>
  </si>
  <si>
    <t>QAC-C1 - Quadro de distribuição de energia  completo, conforme detalhes na prancha 09</t>
  </si>
  <si>
    <t xml:space="preserve"> 15.103 </t>
  </si>
  <si>
    <t xml:space="preserve"> COMP-QD-13 </t>
  </si>
  <si>
    <t>QAC-C2 - Quadro de distribuição de energia  completo, conforme detalhes na prancha 09</t>
  </si>
  <si>
    <t xml:space="preserve"> 15.104 </t>
  </si>
  <si>
    <t xml:space="preserve"> COMP-QD-14 </t>
  </si>
  <si>
    <t>QAC-C3 - Quadro de distribuição de energia  completo, conforme detalhes na prancha 09</t>
  </si>
  <si>
    <t xml:space="preserve"> 15.105 </t>
  </si>
  <si>
    <t xml:space="preserve"> COMP-QD-EX </t>
  </si>
  <si>
    <t>QD-EXT - Quadro de distribuição de energia  completo, conforme detalhes na prancha 09</t>
  </si>
  <si>
    <t xml:space="preserve"> 15.106 </t>
  </si>
  <si>
    <t xml:space="preserve"> COMP-QFL-A </t>
  </si>
  <si>
    <t>QFL-A - Quadro geral de força e luz do Bloco A, completo, conforme detalhes na prancha 13</t>
  </si>
  <si>
    <t xml:space="preserve"> 15.107 </t>
  </si>
  <si>
    <t xml:space="preserve"> COMP-QGBT </t>
  </si>
  <si>
    <t>QGBT -  Quadro geral de baixa tensão , completo, conforme detalhes na prancha 13</t>
  </si>
  <si>
    <t xml:space="preserve"> 15.108 </t>
  </si>
  <si>
    <t xml:space="preserve"> COMP-QCM-R </t>
  </si>
  <si>
    <t>Quadro de comando da bomba de recalque - QCM-R</t>
  </si>
  <si>
    <t xml:space="preserve"> 15.109 </t>
  </si>
  <si>
    <t xml:space="preserve"> 150306 </t>
  </si>
  <si>
    <t>Quadro de distribuição de energia em PVC, de embutir, com 12 divisões modulares com barramento</t>
  </si>
  <si>
    <t xml:space="preserve"> 15.110 </t>
  </si>
  <si>
    <t xml:space="preserve"> 150312 </t>
  </si>
  <si>
    <t>Quadro de distribuição de energia, de embutir, com 3 divisões modulares, sem barramento</t>
  </si>
  <si>
    <t xml:space="preserve"> 15.111 </t>
  </si>
  <si>
    <t xml:space="preserve"> COMP-IL-07 </t>
  </si>
  <si>
    <t>REFLETOR DE PAREDE   NA COR PRETO 3W , 3000K , IP 65 , REF : STH 21744/30 MARCA STELLA OU EQUIVALENTE</t>
  </si>
  <si>
    <t xml:space="preserve"> 15.112 </t>
  </si>
  <si>
    <t xml:space="preserve"> 150851 </t>
  </si>
  <si>
    <t>Saída horizontal para eletroduto de 1"</t>
  </si>
  <si>
    <t xml:space="preserve"> 15.113 </t>
  </si>
  <si>
    <t xml:space="preserve"> 150852 </t>
  </si>
  <si>
    <t>Saída horizontal para eletroduto de 2"</t>
  </si>
  <si>
    <t xml:space="preserve"> 15.114 </t>
  </si>
  <si>
    <t xml:space="preserve"> 150850 </t>
  </si>
  <si>
    <t>Saída horizontal para eletroduto de 3/4"</t>
  </si>
  <si>
    <t xml:space="preserve"> 15.115 </t>
  </si>
  <si>
    <t xml:space="preserve"> 97596 </t>
  </si>
  <si>
    <t>SENSOR DE PRESENÇA SEM FOTOCÉLULA, FIXAÇÃO EM PAREDE - FORNECIMENTO E INSTALAÇÃO. AF_02/2020</t>
  </si>
  <si>
    <t xml:space="preserve"> 15.116 </t>
  </si>
  <si>
    <t xml:space="preserve"> 067614 </t>
  </si>
  <si>
    <t>SISTEMA ALARME-BOTAO DE EMERGENCIA COM TRAVA</t>
  </si>
  <si>
    <t xml:space="preserve"> 15.117 </t>
  </si>
  <si>
    <t xml:space="preserve"> COMP-IL-05 </t>
  </si>
  <si>
    <t>SPOT DE PISO EMBUTIDO NO SOLO MODELO FOCO GRID COM GRADE OFUSCANTE , 5W , 3000 K , NA COR PRETO . REF : STH 8716/30 , IP 67  MARCA STELLA OU EQUIVALENTE</t>
  </si>
  <si>
    <t xml:space="preserve"> 15.118 </t>
  </si>
  <si>
    <t xml:space="preserve"> COMP-MT-02 </t>
  </si>
  <si>
    <t>Subestação externa  aérea trifásica 300KVA, 1 POSTE 1000KGF , completa, c/ quadros de medição, transformador a óleo, disjuntor geral tripolar, poste e acessórios, conforme  Norma MT PT.DT.PDN.03.14.001da EDP Escelsa, inclusive. mureta revestida  com argamassa de cimento, cal hidratada CH1 e areia traço 1:0.5:6/</t>
  </si>
  <si>
    <t xml:space="preserve"> 15.119 </t>
  </si>
  <si>
    <t xml:space="preserve"> 150881 </t>
  </si>
  <si>
    <t>Suporte de fixação de eletrocalha de 200x100mm, na parede, através de suporte tipo mão francesa simples (1 und), parafuso e bucha S8 (2und)</t>
  </si>
  <si>
    <t xml:space="preserve"> 15.120 </t>
  </si>
  <si>
    <t xml:space="preserve"> 150884 </t>
  </si>
  <si>
    <t>Suporte de fixação de eletrocalha de 200x100mm, no teto, através de gancho vertical (1 und), porca sextavada e arruela 1/4" (4 und), vergalhão rosca total 1/4" (h=60cm), cantoneira ZZ (1 und) e parafuso e bucha S8 (2 und)</t>
  </si>
  <si>
    <t xml:space="preserve"> 15.121 </t>
  </si>
  <si>
    <t xml:space="preserve"> 150883 </t>
  </si>
  <si>
    <t>Suporte de fixação de eletrocalha de 400x100mm, na parede, através de suporte tipo mão francesa reforçada (1 und), parafuso e bucha S8 (2 und)</t>
  </si>
  <si>
    <t xml:space="preserve"> 15.122 </t>
  </si>
  <si>
    <t xml:space="preserve"> 150880 </t>
  </si>
  <si>
    <t>Suporte de fixação de eletroduto no teto, através de fita metálica perfurada (Walsiwa) ou equiv (1,30m), cursor (1 und), h=60cm, suporte "Y" (1 und), parafuso e bucha S8 (1 und)</t>
  </si>
  <si>
    <t xml:space="preserve"> 15.123 </t>
  </si>
  <si>
    <t xml:space="preserve"> 150861 </t>
  </si>
  <si>
    <t>Tampa de encaixe para eletrocalha em chapa de aço galvanizada 18, dim. 200mm</t>
  </si>
  <si>
    <t xml:space="preserve"> 15.124 </t>
  </si>
  <si>
    <t xml:space="preserve"> 150863 </t>
  </si>
  <si>
    <t>Tampa de encaixe para eletrocalha em chapa de aço galvanizada 18, dim. 400mm</t>
  </si>
  <si>
    <t xml:space="preserve"> 15.125 </t>
  </si>
  <si>
    <t xml:space="preserve"> 150870 </t>
  </si>
  <si>
    <t>TÊ horizontal 90º para eletrocalha metálica 200x100mm, galvanizada, ref. MEGA MG 2570 ou equivalente</t>
  </si>
  <si>
    <t xml:space="preserve"> 15.126 </t>
  </si>
  <si>
    <t xml:space="preserve"> 152003 </t>
  </si>
  <si>
    <t>Terminal para ligação de cabo a barra de 10.0 mm2</t>
  </si>
  <si>
    <t xml:space="preserve"> 15.127 </t>
  </si>
  <si>
    <t xml:space="preserve"> 152012 </t>
  </si>
  <si>
    <t>Terminal para ligação de cabo a barra de 120 mm2</t>
  </si>
  <si>
    <t xml:space="preserve"> 15.128 </t>
  </si>
  <si>
    <t xml:space="preserve"> 152004 </t>
  </si>
  <si>
    <t>Terminal para ligação de cabo a barra de 16.0 mm2</t>
  </si>
  <si>
    <t xml:space="preserve"> 15.129 </t>
  </si>
  <si>
    <t xml:space="preserve"> 152015 </t>
  </si>
  <si>
    <t>Terminal para ligação de cabo a barra de 240 mm2</t>
  </si>
  <si>
    <t xml:space="preserve"> 15.130 </t>
  </si>
  <si>
    <t xml:space="preserve"> 152005 </t>
  </si>
  <si>
    <t>Terminal para ligação de cabo a barra de 25.0 mm2</t>
  </si>
  <si>
    <t xml:space="preserve"> 15.131 </t>
  </si>
  <si>
    <t xml:space="preserve"> 152016 </t>
  </si>
  <si>
    <t>Terminal para ligação de cabo a barra de 300 mm2</t>
  </si>
  <si>
    <t xml:space="preserve"> 15.132 </t>
  </si>
  <si>
    <t xml:space="preserve"> 152006 </t>
  </si>
  <si>
    <t>Terminal para ligação de cabo a barra de 35.0 mm2</t>
  </si>
  <si>
    <t xml:space="preserve"> 15.133 </t>
  </si>
  <si>
    <t xml:space="preserve"> 152007 </t>
  </si>
  <si>
    <t>Terminal para ligação de cabo a barra de 50.0 mm2</t>
  </si>
  <si>
    <t xml:space="preserve"> 15.134 </t>
  </si>
  <si>
    <t xml:space="preserve"> 152010 </t>
  </si>
  <si>
    <t>Terminal para ligação de cabo a barra de 70 mm2</t>
  </si>
  <si>
    <t xml:space="preserve"> 15.135 </t>
  </si>
  <si>
    <t xml:space="preserve"> 152011 </t>
  </si>
  <si>
    <t>Terminal para ligação de cabo a barra de 95 mm2</t>
  </si>
  <si>
    <t xml:space="preserve"> 15.136 </t>
  </si>
  <si>
    <t xml:space="preserve"> COMP-EL-08 </t>
  </si>
  <si>
    <t>Tomada dupla 2P+T 10A em condulete de alumínio fundido 3/4"</t>
  </si>
  <si>
    <t>TOMADA UNIVERSAL 2P 10A-250V EM CONDULETE DE ALUMINIO</t>
  </si>
  <si>
    <t xml:space="preserve"> 15.138 </t>
  </si>
  <si>
    <t xml:space="preserve"> COMP-QCM-I </t>
  </si>
  <si>
    <t>Quadro de comando da bomba de Incêndio - QCM-I ( Faixa 3,0 à 5,0 HP )</t>
  </si>
  <si>
    <t xml:space="preserve"> 15.139 </t>
  </si>
  <si>
    <t xml:space="preserve"> 151309 </t>
  </si>
  <si>
    <t>Mini-Disjuntor tripolar 16 A, curva C - 5KA 220/127VCA (NBR IEC 60947-2), Ref. Siemens, GE, Schneider ou equivalente</t>
  </si>
  <si>
    <t xml:space="preserve"> 15.140 </t>
  </si>
  <si>
    <t xml:space="preserve"> 15.141 </t>
  </si>
  <si>
    <t xml:space="preserve"> 010271 </t>
  </si>
  <si>
    <t>Retirada de caixas/quadros elétricos</t>
  </si>
  <si>
    <t xml:space="preserve"> 15.142 </t>
  </si>
  <si>
    <t xml:space="preserve"> 150614 </t>
  </si>
  <si>
    <t>Caixa de passagem de alvenaria de blocos de concreto 9x19x39cm, dimensões de 30x30x50cm, com revestimento interno em chapisco e reboco, tampa de concreto esp.5cm e lastro de brita 5 cm</t>
  </si>
  <si>
    <t xml:space="preserve"> 15.143 </t>
  </si>
  <si>
    <t xml:space="preserve"> 069022 </t>
  </si>
  <si>
    <t>POSTE ACO CONICO 7,0m 2 PETALAS 1 70W+1 LED 60W 6.600 LUMEN</t>
  </si>
  <si>
    <t xml:space="preserve"> 15.144 </t>
  </si>
  <si>
    <t xml:space="preserve"> COMP-IL-13 </t>
  </si>
  <si>
    <t>POSTE ACO CONICO 7,0m 1 PETALA+1 LED 60W 6.600 LUMEN</t>
  </si>
  <si>
    <t xml:space="preserve"> 15.145 </t>
  </si>
  <si>
    <t xml:space="preserve"> 1090-COMP-QD-EST </t>
  </si>
  <si>
    <t>QD-EST - Quadro de distribuição de energia  completo, conforme detalhes na prancha 09</t>
  </si>
  <si>
    <t xml:space="preserve"> 16 </t>
  </si>
  <si>
    <t>OUTRAS INSTALAÇÕES</t>
  </si>
  <si>
    <t xml:space="preserve"> 16.1 </t>
  </si>
  <si>
    <t>INSTALAÇÃO DE TELEFONE-SEGURANÇA (ALARME/CFTV)</t>
  </si>
  <si>
    <t xml:space="preserve"> 16.1.1 </t>
  </si>
  <si>
    <t xml:space="preserve"> 16.1.2 </t>
  </si>
  <si>
    <t xml:space="preserve"> 16.1.3 </t>
  </si>
  <si>
    <t xml:space="preserve"> 16.1.4 </t>
  </si>
  <si>
    <t xml:space="preserve"> 16.1.5 </t>
  </si>
  <si>
    <t xml:space="preserve"> 150804 </t>
  </si>
  <si>
    <t>Caixa de ligação de alumínio silício, tipo CONDULETES, sem rosca, no formato LR, inclusive tampa com vedação, diâmetro 3/4"</t>
  </si>
  <si>
    <t xml:space="preserve"> 16.1.6 </t>
  </si>
  <si>
    <t xml:space="preserve"> 16.1.7 </t>
  </si>
  <si>
    <t xml:space="preserve"> 150805 </t>
  </si>
  <si>
    <t>Caixa de ligação de alumínio silício, tipo CONDULETES, sem rosca, no formato X, inclusive tampa com vedação, diâmetro 3/4"</t>
  </si>
  <si>
    <t xml:space="preserve"> 16.1.8 </t>
  </si>
  <si>
    <t xml:space="preserve"> 16.1.9 </t>
  </si>
  <si>
    <t xml:space="preserve"> 16.1.10 </t>
  </si>
  <si>
    <t xml:space="preserve"> 150635 </t>
  </si>
  <si>
    <t>Caixa de passagem 400x400x120mm, chapa 18, com tampa parafusada</t>
  </si>
  <si>
    <t xml:space="preserve"> 16.1.11 </t>
  </si>
  <si>
    <t xml:space="preserve"> 16.1.12 </t>
  </si>
  <si>
    <t xml:space="preserve"> 16.1.13 </t>
  </si>
  <si>
    <t xml:space="preserve"> 16.1.14 </t>
  </si>
  <si>
    <t xml:space="preserve"> 160851 </t>
  </si>
  <si>
    <t>Fornecimento e instalação de Cabo de rede par trançado 4 pares Categoria 6</t>
  </si>
  <si>
    <t xml:space="preserve"> 16.1.15 </t>
  </si>
  <si>
    <t xml:space="preserve"> 160844 </t>
  </si>
  <si>
    <t>Patch Panel 48 Portas RJ45/IDC Cat.6, inclusive fixação em Rack 19"</t>
  </si>
  <si>
    <t xml:space="preserve"> 16.1.16 </t>
  </si>
  <si>
    <t xml:space="preserve"> 16.1.18 </t>
  </si>
  <si>
    <t xml:space="preserve"> COMP-SG-01 </t>
  </si>
  <si>
    <t>SISTEMA DE CFTV, INCLUINDO FORNECIMENTO E INSTALAÇAO</t>
  </si>
  <si>
    <t xml:space="preserve"> 16.1.19 </t>
  </si>
  <si>
    <t xml:space="preserve"> COMP-SG-02 </t>
  </si>
  <si>
    <t>SISTEMA DE ALARME , INCLUINDO FORNECIMENTO E INSTALAÇAO</t>
  </si>
  <si>
    <t xml:space="preserve"> 16.1.20 </t>
  </si>
  <si>
    <t xml:space="preserve"> 16.2 </t>
  </si>
  <si>
    <t>INSTALAÇÕES DE SPDA</t>
  </si>
  <si>
    <t xml:space="preserve"> 16.2.1 </t>
  </si>
  <si>
    <t xml:space="preserve"> 16.2.2 </t>
  </si>
  <si>
    <t xml:space="preserve"> COMP-SP-01 </t>
  </si>
  <si>
    <t>ADESIVO PARA SUPERFÍCIE POROSA, REF.: TEL 5904 TERMOTÉCNICA OU EQUIVALENTE</t>
  </si>
  <si>
    <t xml:space="preserve"> 16.2.3 </t>
  </si>
  <si>
    <t xml:space="preserve"> 160303 </t>
  </si>
  <si>
    <t>Aterramento com haste terra 5/8" x 2.40, cabo de cobre nu 6mm2, inclusive caixa de concreto 30 x 30 cm</t>
  </si>
  <si>
    <t xml:space="preserve"> 16.2.4 </t>
  </si>
  <si>
    <t xml:space="preserve"> 160326 </t>
  </si>
  <si>
    <t>Barra chata em alumínio 7/8"x1/8" (70mm²), com furos diâmetro 7 mm ref. TEL-771, marca de referência Termotécnica ou equivalente</t>
  </si>
  <si>
    <t xml:space="preserve"> 16.2.5 </t>
  </si>
  <si>
    <t xml:space="preserve"> 92992 </t>
  </si>
  <si>
    <t>CABO DE COBRE FLEXÍVEL ISOLADO, 95 MM², ANTI-CHAMA 0,6/1,0 KV, PARA REDE ENTERRADA DE DISTRIBUIÇÃO DE ENERGIA ELÉTRICA - FORNECIMENTO E INSTALAÇÃO. AF_12/2021</t>
  </si>
  <si>
    <t xml:space="preserve"> 16.2.6 </t>
  </si>
  <si>
    <t xml:space="preserve"> 16.2.7 </t>
  </si>
  <si>
    <t xml:space="preserve"> 160333 </t>
  </si>
  <si>
    <t>Cabo de cobre nú 50 mm2, ref. TEL-5750, marca de referência Termotécnica ou equivalente, inclusive abertura e fechamento de vala para cabo dimensões 50x20cm</t>
  </si>
  <si>
    <t xml:space="preserve"> 16.2.8 </t>
  </si>
  <si>
    <t xml:space="preserve"> 160317 </t>
  </si>
  <si>
    <t>Cabo de cobre nú 50mm2, ref. TEL 5750, marca de referência Termotécnica ou equivalente</t>
  </si>
  <si>
    <t xml:space="preserve"> 16.2.9 </t>
  </si>
  <si>
    <t xml:space="preserve"> 16.2.10 </t>
  </si>
  <si>
    <t xml:space="preserve"> 160310 </t>
  </si>
  <si>
    <t>Conector de medição em latão com 2 parafusos para cabos de 16 a 50 mm2, ref. TEL-562, Termotécnica ou equivalente</t>
  </si>
  <si>
    <t xml:space="preserve"> 16.2.11 </t>
  </si>
  <si>
    <t xml:space="preserve"> 16.2.12 </t>
  </si>
  <si>
    <t xml:space="preserve"> 160329 </t>
  </si>
  <si>
    <t>Curva 90º de barra chata em alumínio 7/8"x1/8"x300mm, 70mm², ref. TEL-778, marca de referência Termotécnica ou equivalente</t>
  </si>
  <si>
    <t xml:space="preserve"> 16.2.13 </t>
  </si>
  <si>
    <t xml:space="preserve"> 16.2.14 </t>
  </si>
  <si>
    <t xml:space="preserve"> 160312 </t>
  </si>
  <si>
    <t>Kit completo para solda Exotérmica (Molde HCL 5/8" Ref: TEL905611 / Cartucho n° 115 Ref: TEL 909115 / Alicate Z 201 Ref: TEL 998201), marca de referência Termotécnica ou equivalente</t>
  </si>
  <si>
    <t xml:space="preserve"> 16.2.15 </t>
  </si>
  <si>
    <t xml:space="preserve"> 160319 </t>
  </si>
  <si>
    <t>Presilha de latão ref. 744, inclusive parafuso fenda DN 4,2x32mm e bucha nylon DN 6mm e vedação dos furos com poliuretano ref. 5905, marca de ref. Termotécnica ou equivalente</t>
  </si>
  <si>
    <t xml:space="preserve"> 16.2.16 </t>
  </si>
  <si>
    <t xml:space="preserve"> COMP-SP-02 </t>
  </si>
  <si>
    <t>SUPORTE PLÁSTICO FIXATEL REF.: TEL 726 TERMOTÉCNICA OU EQUIVALENTE</t>
  </si>
  <si>
    <t xml:space="preserve"> 16.2.17 </t>
  </si>
  <si>
    <t xml:space="preserve"> 160321 </t>
  </si>
  <si>
    <t>Tampa reforçada em ferro fundido com escotilha TEL 536, inclusive assentamento, marca de referência Termotécnica ou equivalente</t>
  </si>
  <si>
    <t xml:space="preserve"> 16.2.18 </t>
  </si>
  <si>
    <t xml:space="preserve"> 16.2.19 </t>
  </si>
  <si>
    <t xml:space="preserve"> 16.2.20 </t>
  </si>
  <si>
    <t xml:space="preserve"> 16.3 </t>
  </si>
  <si>
    <t>INSTALAÇÃO DE SISTEMA DE CLIMATIZAÇÃO (INFRA-ESTRUTURA) ( BDI NORMAL)</t>
  </si>
  <si>
    <t xml:space="preserve"> 16.3.1 </t>
  </si>
  <si>
    <t xml:space="preserve"> 161001 </t>
  </si>
  <si>
    <t>Tubo de cobre com isolamento térmico - ø 1/4" esp. 9mm</t>
  </si>
  <si>
    <t xml:space="preserve"> 16.3.2 </t>
  </si>
  <si>
    <t xml:space="preserve"> 161002 </t>
  </si>
  <si>
    <t>Tubo de cobre com isolamento térmico - ø 3/8" esp. 9mm</t>
  </si>
  <si>
    <t xml:space="preserve"> 16.3.3 </t>
  </si>
  <si>
    <t xml:space="preserve"> 161003 </t>
  </si>
  <si>
    <t>Tubo de cobre com isolamento térmico - ø 1/2" esp. 9mm</t>
  </si>
  <si>
    <t xml:space="preserve"> 16.3.4 </t>
  </si>
  <si>
    <t xml:space="preserve"> 161004 </t>
  </si>
  <si>
    <t>Tubo de cobre com isolamento térmico - ø 5/8" esp. 9mm</t>
  </si>
  <si>
    <t xml:space="preserve"> 16.3.5 </t>
  </si>
  <si>
    <t xml:space="preserve"> 161005 </t>
  </si>
  <si>
    <t>Tubo de cobre com isolamento térmico - ø 3/4" esp. 9mm</t>
  </si>
  <si>
    <t xml:space="preserve"> 16.3.6 </t>
  </si>
  <si>
    <t xml:space="preserve"> 161006 </t>
  </si>
  <si>
    <t>Tubo de cobre com isolamento térmico - ø 7/8" esp. 9mm</t>
  </si>
  <si>
    <t xml:space="preserve"> 16.3.7 </t>
  </si>
  <si>
    <t xml:space="preserve"> 161007 </t>
  </si>
  <si>
    <t>Tubo de cobre com isolamento térmico - ø 1.1/8" esp. 9mm</t>
  </si>
  <si>
    <t xml:space="preserve"> 16.3.8 </t>
  </si>
  <si>
    <t xml:space="preserve"> 052666 </t>
  </si>
  <si>
    <t>ISOLAMENTO TERMICO TUBOS DE COBRE 35mm (1.1/4"")</t>
  </si>
  <si>
    <t xml:space="preserve"> 16.3.9 </t>
  </si>
  <si>
    <t xml:space="preserve"> 161009 </t>
  </si>
  <si>
    <t>Tubo de cobre com isolamento térmico - ø 1.5/8" esp. 9 mm</t>
  </si>
  <si>
    <t xml:space="preserve"> 16.3.10 </t>
  </si>
  <si>
    <t xml:space="preserve"> 161016 </t>
  </si>
  <si>
    <t>Instalação de Linha frigorígena para interligação do sistema de climatização incl. acessórios de fixação, fita PVC auto-aderente e cabo PP, exclusive tubos de cobre da linha liquida e sucção, espuma elastomérica flexivel e gás refrigerante</t>
  </si>
  <si>
    <t xml:space="preserve"> 16.4 </t>
  </si>
  <si>
    <t>INSTALAÇÃO DE INCÊNDIO</t>
  </si>
  <si>
    <t xml:space="preserve"> 16.4.1 </t>
  </si>
  <si>
    <t xml:space="preserve"> 142203 </t>
  </si>
  <si>
    <t>Abertura e fechamento de rasgos em alvenaria, para passagem de tubulações, diâm. 21/2 a 4"</t>
  </si>
  <si>
    <t xml:space="preserve"> 16.4.2 </t>
  </si>
  <si>
    <t xml:space="preserve"> 142206 </t>
  </si>
  <si>
    <t>Abertura e fechamento de rasgos em concreto, para passagem de tubulações, diâm. 2 1/2"a 4"</t>
  </si>
  <si>
    <t xml:space="preserve"> 16.4.3 </t>
  </si>
  <si>
    <t xml:space="preserve"> 160625 </t>
  </si>
  <si>
    <t>Abrigo para hidrante de recalque no passeio em caixa de alvenaria 60x40cm em bloco de concreto inclusive registro de recalque ø 65 mm (2 1/2") e tampa de ferro fundido 40x40cm com inscrição incêndio</t>
  </si>
  <si>
    <t xml:space="preserve"> 16.4.4 </t>
  </si>
  <si>
    <t xml:space="preserve"> 102118 </t>
  </si>
  <si>
    <t>BOMBA CENTRÍFUGA, TRIFÁSICA, 3 CV OU 2,96 HP, HM 34 A 40 M, Q 8,6 A 14,8 M3/H - FORNECIMENTO E INSTALAÇÃO. AF_12/2020</t>
  </si>
  <si>
    <t xml:space="preserve"> 16.4.5 </t>
  </si>
  <si>
    <t xml:space="preserve"> 16.4.6 </t>
  </si>
  <si>
    <t xml:space="preserve"> 160606 </t>
  </si>
  <si>
    <t>Extintor de incêndio de gás carbônico CO2 5 B:C (6 Kg), inclusive suporte para fixação, EXCLUSIVE placa sinalizadora em PVC fotoluminescente</t>
  </si>
  <si>
    <t xml:space="preserve"> 16.4.7 </t>
  </si>
  <si>
    <t xml:space="preserve"> 160605 </t>
  </si>
  <si>
    <t>Extintor de incêndio portátil de pó químico ABC com capacidade 2A-20B:C (6 kg), inclusive suporte para fixação, EXCLUSIVE placa sinalizadora em PVC fotoluminescente</t>
  </si>
  <si>
    <t xml:space="preserve"> 16.4.8 </t>
  </si>
  <si>
    <t xml:space="preserve"> 052909 </t>
  </si>
  <si>
    <t>FLANGE COM SEXTAVADO GALVANIZADO DIAM. 2.1/2""</t>
  </si>
  <si>
    <t xml:space="preserve"> 16.4.9 </t>
  </si>
  <si>
    <t xml:space="preserve"> COMP-IN-01 </t>
  </si>
  <si>
    <t>Hidrante de parede, com abrigo em chapa, 80x90x17cm, com suporte e mangueiras 2 x 15m 38mm, adaptador rosca fêmea e engate rápido, esguicho em latão regulavel, registro globo angular 45º/ 38mm</t>
  </si>
  <si>
    <t xml:space="preserve"> 16.4.10 </t>
  </si>
  <si>
    <t xml:space="preserve"> 97599 </t>
  </si>
  <si>
    <t>LUMINÁRIA DE EMERGÊNCIA, COM 30 LÂMPADAS LED DE 2 W, SEM REATOR - FORNECIMENTO E INSTALAÇÃO. AF_02/2020</t>
  </si>
  <si>
    <t xml:space="preserve"> 16.4.11 </t>
  </si>
  <si>
    <t xml:space="preserve"> 060418 </t>
  </si>
  <si>
    <t>LUMINARIA LUZ EMERGENCIA LED 1200 LUMENS 2 FAROIS SEGURIMAX</t>
  </si>
  <si>
    <t xml:space="preserve"> 16.4.12 </t>
  </si>
  <si>
    <t xml:space="preserve"> 160658 </t>
  </si>
  <si>
    <t>Manômetro com caixa e anel tipo cravado em aço inox, mostrador duplo 100 mm escalas de 0 à 7 kgf/cm2 e 0 à 100 PSI, saída traseira de 1/4" BSP</t>
  </si>
  <si>
    <t xml:space="preserve"> 16.4.13 </t>
  </si>
  <si>
    <t xml:space="preserve"> 160612 </t>
  </si>
  <si>
    <t>Placa de sinalização de segurança CODIGO 14 - 315/158(NBR 13.434); CÓDIGO S3(NT 14/2010-ES) ("SAIDA DE EMERGÊNCIA" - seta vertical)</t>
  </si>
  <si>
    <t xml:space="preserve"> 16.4.14 </t>
  </si>
  <si>
    <t xml:space="preserve"> 160661 </t>
  </si>
  <si>
    <t>Pressostato 100 / 150 PSI sem válvula, capacidade elétrica até 5CV em 250VCA, Margirius ou equivalente</t>
  </si>
  <si>
    <t xml:space="preserve"> 16.4.15 </t>
  </si>
  <si>
    <t xml:space="preserve"> 16.4.16 </t>
  </si>
  <si>
    <t xml:space="preserve"> 160634 </t>
  </si>
  <si>
    <t>Registro de gaveta bruto ø 65 mm (2 1/2")</t>
  </si>
  <si>
    <t xml:space="preserve"> 16.4.17 </t>
  </si>
  <si>
    <t xml:space="preserve"> 16.4.18 </t>
  </si>
  <si>
    <t xml:space="preserve"> 160662 </t>
  </si>
  <si>
    <t>Tanque de Pressurização/Cilindro de pressão 10 lts vazio</t>
  </si>
  <si>
    <t xml:space="preserve"> 16.4.19 </t>
  </si>
  <si>
    <t xml:space="preserve"> 141212 </t>
  </si>
  <si>
    <t>Tubo de aço galvanizado, inclusive conexões, diâm. 25mm (1")</t>
  </si>
  <si>
    <t xml:space="preserve"> 16.4.20 </t>
  </si>
  <si>
    <t xml:space="preserve"> 141216 </t>
  </si>
  <si>
    <t>Tubo de aço galvanizado, inclusive conexões, diâm. 65mm (21/2")</t>
  </si>
  <si>
    <t xml:space="preserve"> 16.4.21 </t>
  </si>
  <si>
    <t xml:space="preserve"> 92896 </t>
  </si>
  <si>
    <t>UNIÃO, EM FERRO GALVANIZADO, DN 65 (2 1/2"), CONEXÃO ROSQUEADA, INSTALADO EM REDE DE ALIMENTAÇÃO PARA HIDRANTE - FORNECIMENTO E INSTALAÇÃO. AF_10/2020</t>
  </si>
  <si>
    <t xml:space="preserve"> 16.4.22 </t>
  </si>
  <si>
    <t xml:space="preserve"> 160650 </t>
  </si>
  <si>
    <t>Válvula de retenção horizontal, ø 65 mm (2.1/2")</t>
  </si>
  <si>
    <t xml:space="preserve"> 16.4.23 </t>
  </si>
  <si>
    <t xml:space="preserve"> 16.4.24 </t>
  </si>
  <si>
    <t xml:space="preserve"> 16.5 </t>
  </si>
  <si>
    <t>INSTALAÇÃO DE REDE DE VOZ E DADOS</t>
  </si>
  <si>
    <t xml:space="preserve"> 16.5.1 </t>
  </si>
  <si>
    <t xml:space="preserve"> 16.5.2 </t>
  </si>
  <si>
    <t xml:space="preserve"> 16.5.3 </t>
  </si>
  <si>
    <t xml:space="preserve"> 160832 </t>
  </si>
  <si>
    <t>Bandeja Simples Fixa 2 U's x 390mm carga máxima 20kg, inclusive fixação em Rack 19"</t>
  </si>
  <si>
    <t xml:space="preserve"> 16.5.4 </t>
  </si>
  <si>
    <t xml:space="preserve"> 059563 </t>
  </si>
  <si>
    <t>CABO DE FIBRA OPTICA 4 FIBRAS - PADRAO MULTIMODO</t>
  </si>
  <si>
    <t xml:space="preserve"> 16.5.5 </t>
  </si>
  <si>
    <t xml:space="preserve"> 079612 </t>
  </si>
  <si>
    <t>CABO HDMI X HDMI VERSAO 1.4 BLINDADO - 20,0 M</t>
  </si>
  <si>
    <t xml:space="preserve"> 16.5.6 </t>
  </si>
  <si>
    <t xml:space="preserve"> 16.5.7 </t>
  </si>
  <si>
    <t xml:space="preserve"> 16.5.8 </t>
  </si>
  <si>
    <t xml:space="preserve"> 16.5.9 </t>
  </si>
  <si>
    <t xml:space="preserve"> 16.5.10 </t>
  </si>
  <si>
    <t xml:space="preserve"> 16.5.11 </t>
  </si>
  <si>
    <t xml:space="preserve"> 16.5.12 </t>
  </si>
  <si>
    <t xml:space="preserve"> 150612 </t>
  </si>
  <si>
    <t>Caixa de passagem 100x100x80mm, chapa 18, com tampa parafusada</t>
  </si>
  <si>
    <t xml:space="preserve"> 16.5.13 </t>
  </si>
  <si>
    <t xml:space="preserve"> 16.5.14 </t>
  </si>
  <si>
    <t xml:space="preserve"> 150634 </t>
  </si>
  <si>
    <t>Caixa de passagem 300x300x120mm, chapa 18, com tampa parafusada</t>
  </si>
  <si>
    <t xml:space="preserve"> 16.5.15 </t>
  </si>
  <si>
    <t xml:space="preserve"> 16.5.16 </t>
  </si>
  <si>
    <t xml:space="preserve"> 101795 </t>
  </si>
  <si>
    <t>CAIXA ENTERRADA PARA INSTALAÇÕES TELEFÔNICAS TIPO R1, EM ALVENARIA COM BLOCOS DE CONCRETO, DIMENSÕES INTERNAS: 0,35X0,60X0,60 M, EXCLUINDO TAMPÃO. AF_12/2020</t>
  </si>
  <si>
    <t xml:space="preserve"> 16.5.17 </t>
  </si>
  <si>
    <t xml:space="preserve"> 160822 </t>
  </si>
  <si>
    <t>Calha com 6 Tomadas 20A, inclusive fixação em rack padrão 19", com chicote de 2 metros de comprimento</t>
  </si>
  <si>
    <t xml:space="preserve"> 16.5.18 </t>
  </si>
  <si>
    <t xml:space="preserve"> 160823 </t>
  </si>
  <si>
    <t>Calha com 8 Tomadas 20A, inclusive fixação em rack padrão 19", com chicote de 2 metros de comprimento</t>
  </si>
  <si>
    <t xml:space="preserve"> 16.5.19 </t>
  </si>
  <si>
    <t xml:space="preserve"> 150807 </t>
  </si>
  <si>
    <t>Canaleta sistema X da Pial ou equivalente, inclusive conexões</t>
  </si>
  <si>
    <t xml:space="preserve"> 16.5.20 </t>
  </si>
  <si>
    <t xml:space="preserve"> 160869 </t>
  </si>
  <si>
    <t>Certificação avulsa dos pontos com emissão de relatório do equipamento de teste até 100 pontos</t>
  </si>
  <si>
    <t xml:space="preserve"> 16.5.21 </t>
  </si>
  <si>
    <t xml:space="preserve"> 160870 </t>
  </si>
  <si>
    <t>Certificação avulsa dos pontos com emissão de relatório do equipamento de teste mais de 101 pontos</t>
  </si>
  <si>
    <t xml:space="preserve"> 16.5.22 </t>
  </si>
  <si>
    <t xml:space="preserve"> 079156 </t>
  </si>
  <si>
    <t>CONVERSOR DE MIDIA 10/100BASE TX (RJ45) PARA FIBRA OTICA 100</t>
  </si>
  <si>
    <t xml:space="preserve"> 16.5.23 </t>
  </si>
  <si>
    <t xml:space="preserve"> 059567 </t>
  </si>
  <si>
    <t>CORDAO OPTICO DUPLEX MULTIMODO, CONECTORES DIVERSOS - 5 M</t>
  </si>
  <si>
    <t xml:space="preserve"> 16.5.24 </t>
  </si>
  <si>
    <t xml:space="preserve"> 16.5.25 </t>
  </si>
  <si>
    <t xml:space="preserve"> 16.5.26 </t>
  </si>
  <si>
    <t xml:space="preserve"> 150806 </t>
  </si>
  <si>
    <t>Eletroduto aparente de PVC rígido roscável diâmetro 1", inclusive abraçadeira de fixação</t>
  </si>
  <si>
    <t xml:space="preserve"> 16.5.27 </t>
  </si>
  <si>
    <t xml:space="preserve"> 16.5.28 </t>
  </si>
  <si>
    <t xml:space="preserve"> 16.5.29 </t>
  </si>
  <si>
    <t xml:space="preserve"> 16.5.30 </t>
  </si>
  <si>
    <t xml:space="preserve"> 16.5.31 </t>
  </si>
  <si>
    <t xml:space="preserve"> 16.5.32 </t>
  </si>
  <si>
    <t xml:space="preserve"> 16.5.33 </t>
  </si>
  <si>
    <t xml:space="preserve"> 16.5.34 </t>
  </si>
  <si>
    <t xml:space="preserve"> 160872 </t>
  </si>
  <si>
    <t>Espelho 4" x 2" com conector RJ 45 fêmea CAT. 6</t>
  </si>
  <si>
    <t xml:space="preserve"> 16.5.35 </t>
  </si>
  <si>
    <t xml:space="preserve"> 160873 </t>
  </si>
  <si>
    <t>Espelho 4" x 4" com 2 conectores RJ 45 fêmea CAT. 6</t>
  </si>
  <si>
    <t xml:space="preserve"> 16.5.36 </t>
  </si>
  <si>
    <t xml:space="preserve"> 16.5.37 </t>
  </si>
  <si>
    <t xml:space="preserve"> 16.5.38 </t>
  </si>
  <si>
    <t xml:space="preserve"> 160812 </t>
  </si>
  <si>
    <t>Fornecimento e instalação de Mini Rack de Parede Padrão 19" - 16 U´s x 570mm</t>
  </si>
  <si>
    <t xml:space="preserve"> 16.5.39 </t>
  </si>
  <si>
    <t xml:space="preserve"> 160816 </t>
  </si>
  <si>
    <t>Fornecimento e instalação de Rack de Piso Fechado Padrão 19" - 44 U´s x 670mm</t>
  </si>
  <si>
    <t xml:space="preserve"> 16.5.40 </t>
  </si>
  <si>
    <t xml:space="preserve"> 160825 </t>
  </si>
  <si>
    <t>Guia de Cabos Fechado Horizontal Padrão 19" - 1 U´s, inclusive fixação em Rack 19"</t>
  </si>
  <si>
    <t xml:space="preserve"> 16.5.41 </t>
  </si>
  <si>
    <t xml:space="preserve"> 160826 </t>
  </si>
  <si>
    <t>Guia de Cabos Fechado Horizontal Padrão 19" - 2 U´s, inclusive fixação em Rack 19"</t>
  </si>
  <si>
    <t xml:space="preserve"> 16.5.42 </t>
  </si>
  <si>
    <t xml:space="preserve"> 160828 </t>
  </si>
  <si>
    <t>Guia de Cabos Vertical para Rack Aberto Padrão 19" - 44 U´s x 1940 x 50mm</t>
  </si>
  <si>
    <t xml:space="preserve"> 16.5.43 </t>
  </si>
  <si>
    <t xml:space="preserve"> 16.5.44 </t>
  </si>
  <si>
    <t xml:space="preserve"> 160838 </t>
  </si>
  <si>
    <t>Kit M5 Porca-Gaiola com 100 und com Parafuso Philips e Arruela</t>
  </si>
  <si>
    <t xml:space="preserve"> 16.5.45 </t>
  </si>
  <si>
    <t xml:space="preserve"> 160837 </t>
  </si>
  <si>
    <t>Kit Rodizio Composto por 4 rodas (2 c/ travas), inclusive fixação em Rack 19"</t>
  </si>
  <si>
    <t xml:space="preserve"> 16.5.46 </t>
  </si>
  <si>
    <t xml:space="preserve"> 160835 </t>
  </si>
  <si>
    <t>Kit Ventilação composto por 2 Ventiladores Bi-Volts, inclusive fixação em Rack 19"</t>
  </si>
  <si>
    <t xml:space="preserve"> 16.5.47 </t>
  </si>
  <si>
    <t xml:space="preserve"> 160866 </t>
  </si>
  <si>
    <t>No Break 1400VA (980W) Senoidal, tensão de entrada: 120V e tensão de saida: 120V, Interface Port DB-9 RS-232, SmartSlot, USB, inclusive fixação em rack 19"</t>
  </si>
  <si>
    <t xml:space="preserve"> 16.5.48 </t>
  </si>
  <si>
    <t xml:space="preserve"> 160829 </t>
  </si>
  <si>
    <t>Painel de Fechamento Frontal 1 U, inclusive fixação em Rack 19"</t>
  </si>
  <si>
    <t xml:space="preserve"> 16.5.49 </t>
  </si>
  <si>
    <t xml:space="preserve"> 160830 </t>
  </si>
  <si>
    <t>Painel de Fechamento Frontal 2 U's, inclusive fixação em Rack 19"</t>
  </si>
  <si>
    <t xml:space="preserve"> 16.5.50 </t>
  </si>
  <si>
    <t xml:space="preserve"> 160847 </t>
  </si>
  <si>
    <t>Patch Cord Gigalan Extra Flexível CAT 6 U/UTP RJ-45 - 1,50 m</t>
  </si>
  <si>
    <t xml:space="preserve"> 16.5.51 </t>
  </si>
  <si>
    <t xml:space="preserve"> 160848 </t>
  </si>
  <si>
    <t>Patch Cord Gigalan Extra Flexível CAT 6 U/UTP RJ-45 - 3,00 m</t>
  </si>
  <si>
    <t xml:space="preserve"> 16.5.52 </t>
  </si>
  <si>
    <t xml:space="preserve"> 16.5.53 </t>
  </si>
  <si>
    <t xml:space="preserve"> 16.5.54 </t>
  </si>
  <si>
    <t xml:space="preserve"> 16.5.55 </t>
  </si>
  <si>
    <t xml:space="preserve"> 16.5.56 </t>
  </si>
  <si>
    <t xml:space="preserve"> 16.5.57 </t>
  </si>
  <si>
    <t xml:space="preserve"> 16.5.58 </t>
  </si>
  <si>
    <t xml:space="preserve"> 16.5.59 </t>
  </si>
  <si>
    <t xml:space="preserve"> 101798 </t>
  </si>
  <si>
    <t>TAMPA PARA CAIXA TIPO R1, EM FERRO FUNDIDO, DIMENSÕES INTERNAS: 0,40 X 0,60 M - FORNECIMENTO E INSTALAÇÃO. AF_12/2020</t>
  </si>
  <si>
    <t xml:space="preserve"> 16.5.60 </t>
  </si>
  <si>
    <t xml:space="preserve"> 16.5.61 </t>
  </si>
  <si>
    <t xml:space="preserve"> 160839 </t>
  </si>
  <si>
    <t>Velcro Rolo 20mm - Preto</t>
  </si>
  <si>
    <t xml:space="preserve"> 16.5.62 </t>
  </si>
  <si>
    <t xml:space="preserve"> 16.5.63 </t>
  </si>
  <si>
    <t xml:space="preserve"> COMP-RD-02 </t>
  </si>
  <si>
    <t>Tomada dupla  RJ-45 , Categoria 6 em condulete de alumínio fundido 3/4"</t>
  </si>
  <si>
    <t xml:space="preserve"> 16.5.64 </t>
  </si>
  <si>
    <t xml:space="preserve"> COMP-RD-01 </t>
  </si>
  <si>
    <t>Tomada simples  RJ-45 , Categoria 6 em condulete de alumínio fundido 3/4"</t>
  </si>
  <si>
    <t xml:space="preserve"> 16.5.65 </t>
  </si>
  <si>
    <t xml:space="preserve"> COMP-RD-04 </t>
  </si>
  <si>
    <t>KIT INTERFONE/PORTEIRO ELETRONICO</t>
  </si>
  <si>
    <t xml:space="preserve"> 16.5.66 </t>
  </si>
  <si>
    <t xml:space="preserve"> 98293 </t>
  </si>
  <si>
    <t>CABO TELEFÔNICO CI-50 10 PARES INSTALADO EM DISTRIBUIÇÃO DE EDIFICAÇÃO INSTITUCIONAL - FORNECIMENTO E INSTALAÇÃO. AF_11/2019</t>
  </si>
  <si>
    <t xml:space="preserve"> 16.6 </t>
  </si>
  <si>
    <t>INSTALAÇÕES DE SDAI</t>
  </si>
  <si>
    <t xml:space="preserve"> 16.6.1 </t>
  </si>
  <si>
    <t xml:space="preserve"> 16.6.2 </t>
  </si>
  <si>
    <t xml:space="preserve"> 16.6.3 </t>
  </si>
  <si>
    <t xml:space="preserve"> COMP-SD-01 </t>
  </si>
  <si>
    <t>CABO FORMADO POR 04 CONDUTORES FLEXIVEIS, TEMPERA MOLE, ISOLAÇÃO EM PVC CLASSE 70° ANTICHAMA, 600V, CONFORME NBR-9441, SENDO DOIS CONDUTORES DE 1,00mm2 IDENTIFICADOS NAS CORES AZ E BC E DOIS CONDUTORES DE 1,,00mm2 IDENTIFICADOS NAS CORES PT E VM,  CAPA EXTERNA EM PVC 105°C ANTICHAMA NA COR VERMELHA</t>
  </si>
  <si>
    <t xml:space="preserve"> 16.6.4 </t>
  </si>
  <si>
    <t xml:space="preserve"> 16.6.5 </t>
  </si>
  <si>
    <t xml:space="preserve"> 95795 </t>
  </si>
  <si>
    <t>CONDULETE DE ALUMÍNIO, TIPO T, PARA ELETRODUTO DE AÇO GALVANIZADO DN 20 MM (3/4</t>
  </si>
  <si>
    <t xml:space="preserve"> 16.6.6 </t>
  </si>
  <si>
    <t xml:space="preserve"> COMP-SD-02 </t>
  </si>
  <si>
    <t>CONECTOR RETO DE ALUMINIO PARA ELETRODUTO DE 3/4"</t>
  </si>
  <si>
    <t xml:space="preserve"> 16.6.7 </t>
  </si>
  <si>
    <t xml:space="preserve"> 067650 </t>
  </si>
  <si>
    <t>DETECTOR DE TEMPERATURA ENDERECAVEL DTC 420 INTELBRAS</t>
  </si>
  <si>
    <t xml:space="preserve"> 16.6.8 </t>
  </si>
  <si>
    <t xml:space="preserve"> 061550 </t>
  </si>
  <si>
    <t>ELETRODUTO FLEXIVEL SEALTUBE 3/4""</t>
  </si>
  <si>
    <t xml:space="preserve"> 16.6.9 </t>
  </si>
  <si>
    <t xml:space="preserve"> 061167 </t>
  </si>
  <si>
    <t>ELETRODUTO GALVANIZADO NBR 5597 1"" COM CONEXOES</t>
  </si>
  <si>
    <t xml:space="preserve"> 16.6.10 </t>
  </si>
  <si>
    <t xml:space="preserve"> 061166 </t>
  </si>
  <si>
    <t>ELETRODUTO GALVANIZADO NBR 5597 3/4"" COM CONEXOES</t>
  </si>
  <si>
    <t xml:space="preserve"> 16.6.11 </t>
  </si>
  <si>
    <t xml:space="preserve"> 16.6.12 </t>
  </si>
  <si>
    <t xml:space="preserve"> 160674 </t>
  </si>
  <si>
    <t>Fornecimento e instalação de Acionador manual de alarme de incêndio endereçavel, tipo quebra vidro</t>
  </si>
  <si>
    <t xml:space="preserve"> 16.6.13 </t>
  </si>
  <si>
    <t xml:space="preserve"> 16.6.14 </t>
  </si>
  <si>
    <t xml:space="preserve"> 91170 </t>
  </si>
  <si>
    <t>FIXAÇÃO DE TUBOS HORIZONTAIS DE PVC, CPVC OU COBRE DIÂMETROS MENORES OU IGUAIS A 40 MM OU ELETROCALHAS ATÉ 150MM DE LARGURA, COM ABRAÇADEIRA METÁLICA RÍGIDA TIPO D 1/2, FIXADA EM PERFILADO EM LAJE. AF_05/2015</t>
  </si>
  <si>
    <t xml:space="preserve"> 16.6.15 </t>
  </si>
  <si>
    <t xml:space="preserve"> 16.6.16 </t>
  </si>
  <si>
    <t xml:space="preserve"> 160673 </t>
  </si>
  <si>
    <t>Fornecimento e instalação de Central de alarme de incêndio endereçável, capacidade até: 256 endereços, 4 laços com bateria Ref. Walmonof, Abafire, Deltafire ou equivalente</t>
  </si>
  <si>
    <t xml:space="preserve"> 16.6.17 </t>
  </si>
  <si>
    <t xml:space="preserve"> 160675 </t>
  </si>
  <si>
    <t>Fornecimento e instalação de Detector de fumaça óptico endereçavel Bivolt 12/24V para parede ou teto</t>
  </si>
  <si>
    <t xml:space="preserve"> 16.6.18 </t>
  </si>
  <si>
    <t xml:space="preserve"> 160676 </t>
  </si>
  <si>
    <t>Fornecimento e instalação de Sirene eletronica média tipo corneta</t>
  </si>
  <si>
    <t xml:space="preserve"> 16.6.19 </t>
  </si>
  <si>
    <t xml:space="preserve"> 067615 </t>
  </si>
  <si>
    <t>SISTEMA ALARME-FECHADURA PARA ATIVACAO</t>
  </si>
  <si>
    <t>CJ</t>
  </si>
  <si>
    <t xml:space="preserve"> 16.6.20 </t>
  </si>
  <si>
    <t xml:space="preserve"> 16.7 </t>
  </si>
  <si>
    <t>INSTALAÇÃO DO SISTEMA DE CLIMATIZAÇÃO-EQUIPAMENTOS DE REFRIGERAÇÃO ( BDI DIFERENCIADO DE 15,57%)</t>
  </si>
  <si>
    <t xml:space="preserve"> 16.8 </t>
  </si>
  <si>
    <t>INSTALAÇÕES DE GLP</t>
  </si>
  <si>
    <t xml:space="preserve"> 16.8.1 </t>
  </si>
  <si>
    <t xml:space="preserve"> 160207 </t>
  </si>
  <si>
    <t>Abrigo de gás para 2 cilindros 45 Kg, exec. em alv. bloco conc cheio,dim 1,50x0.85x2.10m, inclusive cilindros e rede interna do abrigo compreendendo tubos e válvulas de esfera que interligam os cilindros</t>
  </si>
  <si>
    <t xml:space="preserve"> 16.8.2 </t>
  </si>
  <si>
    <t xml:space="preserve"> 93088 </t>
  </si>
  <si>
    <t>CONECTOR EM BRONZE/LATÃO, DN 22 MM X 3/4", SEM ANEL DE SOLDA, BOLSA X ROSCA F, INSTALADO EM RAMAL DE DISTRIBUIÇÃO DE HIDRÁULICA PREDIAL - FORNECIMENTO E INSTALAÇÃO. AF_04/2022</t>
  </si>
  <si>
    <t xml:space="preserve"> 16.8.3 </t>
  </si>
  <si>
    <t xml:space="preserve"> 93077 </t>
  </si>
  <si>
    <t>COTOVELO EM BRONZE/LATÃO, DN 22 MM X 1/2", 90 GRAUS, SEM ANEL DE SOLDA, BOLSA X ROSCA F, INSTALADO EM RAMAL DE DISTRIBUIÇÃO DE HIDRÁULICA PREDIAL - FORNECIMENTO E INSTALAÇÃO. AF_04/2022</t>
  </si>
  <si>
    <t xml:space="preserve"> 16.8.4 </t>
  </si>
  <si>
    <t xml:space="preserve"> 92312 </t>
  </si>
  <si>
    <t>COTOVELO EM COBRE, DN 22 MM, 90 GRAUS, SEM ANEL DE SOLDA, INSTALADO EM RAMAL DE DISTRIBUIÇÃO DE HIDRÁULICA PREDIAL - FORNECIMENTO E INSTALAÇÃO. AF_04/2022</t>
  </si>
  <si>
    <t xml:space="preserve"> 16.8.5 </t>
  </si>
  <si>
    <t xml:space="preserve"> 16.8.6 </t>
  </si>
  <si>
    <t xml:space="preserve"> 160709 </t>
  </si>
  <si>
    <t>Estrado de madeira de lei tipo Paraju ou equivalente conforme detalhe em projeto</t>
  </si>
  <si>
    <t xml:space="preserve"> 16.8.7 </t>
  </si>
  <si>
    <t xml:space="preserve"> 92315 </t>
  </si>
  <si>
    <t>LUVA EM COBRE, DN 22 MM, SEM ANEL DE SOLDA, INSTALADO EM RAMAL DE DISTRIBUIÇÃO DE HIDRÁULICA PREDIAL - FORNECIMENTO E INSTALAÇÃO. AF_04/2022</t>
  </si>
  <si>
    <t xml:space="preserve"> 16.8.8 </t>
  </si>
  <si>
    <t xml:space="preserve"> COMP-GAS 01 </t>
  </si>
  <si>
    <t>CAIXA METÁLICA (60x60)cm e CONEXÕES E PEÇAS PARA CAIXA COM 2 REGULADORES DE GÁS</t>
  </si>
  <si>
    <t xml:space="preserve"> 16.8.9 </t>
  </si>
  <si>
    <t xml:space="preserve"> 190417 </t>
  </si>
  <si>
    <t>Pintura sobre metal, aplicação manual, com duas demãos de tinta esmalte sintético, referência Suvinil, Coral ou Metalatex, inclusive uma demão de fundo anticorrosivo</t>
  </si>
  <si>
    <t xml:space="preserve"> 16.8.10 </t>
  </si>
  <si>
    <t xml:space="preserve"> 030211 </t>
  </si>
  <si>
    <t>Reaterro de valas, exclusive compactação</t>
  </si>
  <si>
    <t xml:space="preserve"> 16.8.11 </t>
  </si>
  <si>
    <t xml:space="preserve"> 052880 </t>
  </si>
  <si>
    <t>REGISTRO ESFERA FECHO RAPIDO 3/4""</t>
  </si>
  <si>
    <t xml:space="preserve"> 16.8.12 </t>
  </si>
  <si>
    <t xml:space="preserve"> 103029 </t>
  </si>
  <si>
    <t>REGISTRO OU REGULADOR DE GÁS DE COZINHA - FORNECIMENTO E INSTALAÇÃO. AF_08/2021</t>
  </si>
  <si>
    <t xml:space="preserve"> 16.8.13 </t>
  </si>
  <si>
    <t xml:space="preserve"> 056196 </t>
  </si>
  <si>
    <t>BUJAO/PLUG GALVANIZADO DIAM. 3/4""</t>
  </si>
  <si>
    <t xml:space="preserve"> 16.8.14 </t>
  </si>
  <si>
    <t xml:space="preserve"> 92333 </t>
  </si>
  <si>
    <t>TE EM COBRE, DN 22 MM, SEM ANEL DE SOLDA, INSTALADO EM RAMAL E SUB-RAMAL DE HIDRÁULICA PREDIAL - FORNECIMENTO E INSTALAÇÃO. AF_04/2022</t>
  </si>
  <si>
    <t xml:space="preserve"> 16.8.15 </t>
  </si>
  <si>
    <t xml:space="preserve"> 103803 </t>
  </si>
  <si>
    <t>TUBO EM COBRE RÍGIDO, DN 22 MM, CLASSE E, SEM ISOLAMENTO, INSTALADO EM RAMAL E SUB-RAMAL DE GÁS COMBUSTÍVEL - FORNECIMENTO E INSTALAÇÃO. AF_04/2022</t>
  </si>
  <si>
    <t xml:space="preserve"> 17 </t>
  </si>
  <si>
    <t>APARELHOS HIDRO-SANITÁRIOS</t>
  </si>
  <si>
    <t xml:space="preserve"> 17.1 </t>
  </si>
  <si>
    <t>LOUÇAS</t>
  </si>
  <si>
    <t xml:space="preserve"> 17.1.1 </t>
  </si>
  <si>
    <t xml:space="preserve"> 170107 </t>
  </si>
  <si>
    <t>Mictório de louça branca, marcas de referência Deca, Celite ou Ideal Standard, inclusive engates cromados</t>
  </si>
  <si>
    <t xml:space="preserve"> 17.1.2 </t>
  </si>
  <si>
    <t xml:space="preserve"> 170133 </t>
  </si>
  <si>
    <t>Cuba louça branca oval, de embutir, Mod. L37, marca de ref. Deca incl. válvula e sifão, exclusive torneira.</t>
  </si>
  <si>
    <t xml:space="preserve"> 17.1.3 </t>
  </si>
  <si>
    <t xml:space="preserve"> 170129 </t>
  </si>
  <si>
    <t>Bacia sifonada de louça branca com caixa acoplada, inclusive acessórios</t>
  </si>
  <si>
    <t xml:space="preserve"> 17.1.4 </t>
  </si>
  <si>
    <t xml:space="preserve"> 86872 </t>
  </si>
  <si>
    <t>TANQUE DE LOUÇA BRANCA COM COLUNA, 30L OU EQUIVALENTE - FORNECIMENTO E INSTALAÇÃO. AF_01/2020</t>
  </si>
  <si>
    <t xml:space="preserve"> 17.2 </t>
  </si>
  <si>
    <t>BANCADAS</t>
  </si>
  <si>
    <t xml:space="preserve"> 17.2.1 </t>
  </si>
  <si>
    <t xml:space="preserve"> 170220 </t>
  </si>
  <si>
    <t>Bancada de granito com espessura de 2 cm</t>
  </si>
  <si>
    <t xml:space="preserve"> 17.3 </t>
  </si>
  <si>
    <t>TORNEIRAS, REGISTROS, VÁLVULAS E METAIS</t>
  </si>
  <si>
    <t xml:space="preserve"> 17.3.1 </t>
  </si>
  <si>
    <t xml:space="preserve"> 170304 </t>
  </si>
  <si>
    <t>Torneira pressão cromada diâm. 1/2" para lavatório, marcas de referência Fabrimar, Deca ou Docol</t>
  </si>
  <si>
    <t xml:space="preserve"> 17.3.2 </t>
  </si>
  <si>
    <t xml:space="preserve"> 170306 </t>
  </si>
  <si>
    <t>Torneira para tanque, marcas de referência Fabrimar, Deca ou Docol.</t>
  </si>
  <si>
    <t xml:space="preserve"> 17.3.3 </t>
  </si>
  <si>
    <t xml:space="preserve"> 170315 </t>
  </si>
  <si>
    <t>Torneira pressão cromada diam. 1/2" para pia, marcas de referência Fabrimar, Deca ou Docol</t>
  </si>
  <si>
    <t xml:space="preserve"> 17.3.4 </t>
  </si>
  <si>
    <t xml:space="preserve"> 170352 </t>
  </si>
  <si>
    <t>Válvula de Descarga com acabamento anti-vandalismo, marcas de referência Fabrimar, Deca ou Docol</t>
  </si>
  <si>
    <t xml:space="preserve"> 17.3.5 </t>
  </si>
  <si>
    <t xml:space="preserve"> 170353 </t>
  </si>
  <si>
    <t>Torneira para lavatório linha anti-vandalismo, marcas de referência Fabrimar, Deca ou Docol</t>
  </si>
  <si>
    <t xml:space="preserve"> 17.5 </t>
  </si>
  <si>
    <t>OUTROS APARELHOS</t>
  </si>
  <si>
    <t xml:space="preserve"> 17.5.1 </t>
  </si>
  <si>
    <t xml:space="preserve"> 170509 </t>
  </si>
  <si>
    <t>Tanque de aço inox nº 2, marcas de referência Fisher, Metalpress ou Mekal, inclusive válvula de metal e sifão</t>
  </si>
  <si>
    <t xml:space="preserve"> 17.5.2 </t>
  </si>
  <si>
    <t xml:space="preserve"> 170519 </t>
  </si>
  <si>
    <t>Ducha manual Acqua jet , linha Aquarius, com registro ref.C 2195, marcas de referência Fabrimar, Deca ou Docol</t>
  </si>
  <si>
    <t xml:space="preserve"> 17.5.3 </t>
  </si>
  <si>
    <t xml:space="preserve"> 170530 </t>
  </si>
  <si>
    <t>Cuba em aço inox nº 02(dim.560x340x150)mm, marcas de referência Franke, Strake, tramontina, inclusive válvula de metal 31/2" e sifão cromado 1 x 1/2", excl. torneira</t>
  </si>
  <si>
    <t xml:space="preserve"> 17.5.4 </t>
  </si>
  <si>
    <t xml:space="preserve"> 170537 </t>
  </si>
  <si>
    <t>Assento plástico para vaso sanitário, marcas de referência Deca, Celite ou Ideal Standard</t>
  </si>
  <si>
    <t xml:space="preserve"> 17.5.5 </t>
  </si>
  <si>
    <t xml:space="preserve"> COMP-ARQ-14 </t>
  </si>
  <si>
    <t>Sirene com botoeira para alarme banheiro pcd</t>
  </si>
  <si>
    <t xml:space="preserve"> 17.5.6 </t>
  </si>
  <si>
    <t xml:space="preserve"> COMP-ARQ-28 </t>
  </si>
  <si>
    <t>Dispenser, em plástico, para papel higiênico em rolo</t>
  </si>
  <si>
    <t>un</t>
  </si>
  <si>
    <t xml:space="preserve"> 17.5.7 </t>
  </si>
  <si>
    <t xml:space="preserve"> COMP-ARQ-29 </t>
  </si>
  <si>
    <t>Toalheiro plástico em ABS branco tipo dispenser para papel</t>
  </si>
  <si>
    <t xml:space="preserve"> 17.5.8 </t>
  </si>
  <si>
    <t xml:space="preserve"> 95547 </t>
  </si>
  <si>
    <t>SABONETEIRA PLASTICA TIPO DISPENSER PARA SABONETE LIQUIDO COM RESERVATORIO 800 A 1500 ML, INCLUSO FIXAÇÃO. AF_01/2020</t>
  </si>
  <si>
    <t xml:space="preserve"> 17.6 </t>
  </si>
  <si>
    <t>ACESSIBILIDADE - NBR 9050</t>
  </si>
  <si>
    <t xml:space="preserve"> 17.6.1 </t>
  </si>
  <si>
    <t xml:space="preserve"> 170615 </t>
  </si>
  <si>
    <t>Barra de apoio reta em aço inox 304 p/ portadores de necessidades especiais (NBR 9050), largura 70 cm</t>
  </si>
  <si>
    <t xml:space="preserve"> 17.6.2 </t>
  </si>
  <si>
    <t xml:space="preserve"> 170603 </t>
  </si>
  <si>
    <t>Barra de apoio reta em aço inox 304 p/ portadores de necessidades especiais (NBR 9050), largura 80 cm</t>
  </si>
  <si>
    <t xml:space="preserve"> 17.6.3 </t>
  </si>
  <si>
    <t xml:space="preserve"> 170607 </t>
  </si>
  <si>
    <t>Barra de apoio lateral articulada em aço inox 304 - 80cm p/ portadores de necessidades especiais (NBR 9050)</t>
  </si>
  <si>
    <t xml:space="preserve"> 17.6.4 </t>
  </si>
  <si>
    <t xml:space="preserve"> 170608 </t>
  </si>
  <si>
    <t>Bacia sifonada de louça branca sem abertura frontal p/ banheiro PNE, consumo 6 litros por fluxo, Vogue Plus Conforto - P.510.17, Ref. Deca ou equiv., incl. tubo de ligação inox c/ canopla, anel de vedação, paraf. e rejunte epoxi p/ vedação</t>
  </si>
  <si>
    <t xml:space="preserve"> 17.6.5 </t>
  </si>
  <si>
    <t xml:space="preserve"> 170610 </t>
  </si>
  <si>
    <t>Assento poliéster sem abertura frontal c/ fixação cromada e aditivo químico c/ proteção antibactéria, Vogue Plus - AP.51.17, Ref. Deca ou equivalente</t>
  </si>
  <si>
    <t xml:space="preserve"> 17.6.6 </t>
  </si>
  <si>
    <t xml:space="preserve"> 170612 </t>
  </si>
  <si>
    <t>Lavatório de louça branca com coluna suspensa p/ banheiro PNE, Vougle Plus Conforto L.51.17 + CS.1.17, Ref., Deca ou equivalente, incl. sifão, válvula e engates metálicos cromados, exclusive torneira</t>
  </si>
  <si>
    <t xml:space="preserve"> 18 </t>
  </si>
  <si>
    <t>APARELHOS ELÉTRICOS</t>
  </si>
  <si>
    <t>PINTURA</t>
  </si>
  <si>
    <t xml:space="preserve"> 19.1 </t>
  </si>
  <si>
    <t>SOBRE PAREDES E FORROS</t>
  </si>
  <si>
    <t xml:space="preserve"> 19.1.1 </t>
  </si>
  <si>
    <t xml:space="preserve"> 190101 </t>
  </si>
  <si>
    <t>Emassamento de paredes e forros, com duas demãos de massa corrida, referência Suvinil, Coral, Metalatex ou equivalente, inclusive uma demão de liquido selador PVA, referência Suvinil, Coral ou Metalatex ou equivalente</t>
  </si>
  <si>
    <t xml:space="preserve"> 19.1.2 </t>
  </si>
  <si>
    <t xml:space="preserve"> 190104 </t>
  </si>
  <si>
    <t>Pintura em paredes e forros, aplicação manual, com três demãos de tinta látex premium, referência Suvinil, Coral e Metalatex, inclusive uma demão de liquido selador PVA, referência Suvinil, Coral ou Metalatex ou equivalente</t>
  </si>
  <si>
    <t>SOBRE CONCRETO OU BLOCOS CERÂMICOS APARENTES</t>
  </si>
  <si>
    <t xml:space="preserve"> 19.3 </t>
  </si>
  <si>
    <t>SOBRE MADEIRA</t>
  </si>
  <si>
    <t xml:space="preserve"> 19.3.1 </t>
  </si>
  <si>
    <t xml:space="preserve"> 190301 </t>
  </si>
  <si>
    <t>Emassamento de esquadrias e elementos de madeira, com duas demãos de massa à base água, referência Suvinil, Coral, Sherwin Williams ou equivalente, inclusive uma demão de fundo nivelador alquídico branco, referência Suvinil, Coral ou Metalatex ou equivalente</t>
  </si>
  <si>
    <t xml:space="preserve"> 19.3.2 </t>
  </si>
  <si>
    <t xml:space="preserve"> 190302 </t>
  </si>
  <si>
    <t>Pintura de esquadrias e elementos de madeira, aplicação manual, com duas demãos de tinta esmalte sintético referência Suvinil, Coral ou Metalatex, inclusive fundo branco nivelador, referência Suvinil, Coral e Metalatex ou equivalente</t>
  </si>
  <si>
    <t xml:space="preserve"> 19.4 </t>
  </si>
  <si>
    <t>SOBRE METAL</t>
  </si>
  <si>
    <t xml:space="preserve"> 19.4.1 </t>
  </si>
  <si>
    <t xml:space="preserve"> 19.6 </t>
  </si>
  <si>
    <t>SOBRE PISOS</t>
  </si>
  <si>
    <t xml:space="preserve"> 19.6.1 </t>
  </si>
  <si>
    <t xml:space="preserve"> 190603 </t>
  </si>
  <si>
    <t>Pintura sobre pisos, marcas de referência Novacor, Coral ou Suvinil, a duas demãos, Linha Premium</t>
  </si>
  <si>
    <t xml:space="preserve"> 20 </t>
  </si>
  <si>
    <t>SERVIÇOS COMPLEMENTARES EXTERNOS</t>
  </si>
  <si>
    <t xml:space="preserve"> 20.1 </t>
  </si>
  <si>
    <t>MUROS E FECHAMENTOS</t>
  </si>
  <si>
    <t xml:space="preserve"> 20.1.1 </t>
  </si>
  <si>
    <t xml:space="preserve"> 200101 </t>
  </si>
  <si>
    <t>Alambrado c/ tela losangular de arame fio 12 malha 2" revest. em PVC com tubo de ferro galvanizado vertical de 2 1/2" e horizontal de 1" incl. portão, pintados com esmalte sobre fundo anticorrosivo</t>
  </si>
  <si>
    <t xml:space="preserve"> 20.1.2 </t>
  </si>
  <si>
    <t xml:space="preserve"> 200124 </t>
  </si>
  <si>
    <t>Muro de alvenaria de blocos cerâmicos 10x20x20cm, c/ pilares a cada 2 m, esp. 10cm e h=2.5m, revestido com chapisco, reboco e pintura acrílica a 2 demãos, incl. pilares, cintas e sapatas, empregando arg. cimento cal e areia</t>
  </si>
  <si>
    <t xml:space="preserve"> 20.1.3 </t>
  </si>
  <si>
    <t xml:space="preserve"> COMP-ARQ-31 </t>
  </si>
  <si>
    <t>Muro de alvenaria de blocos cerâmicos 10x20x20cm, c/ pilares a cada 2 m, esp. 10cm e h=3m, revestido com chapisco, reboco e pintura acrílica a 2 demãos, incl. pilares, cintas e sapatas, empregando arg. Cimento cal e areia</t>
  </si>
  <si>
    <t xml:space="preserve"> 20.1.4 </t>
  </si>
  <si>
    <t xml:space="preserve"> COMP-ARQ-32 </t>
  </si>
  <si>
    <t>Muro de alvenaria de blocos cerâmicos 10x20x20cm, c/ pilares a cada 2 m, esp. 10cm e h=0.9m, revestido com chapisco, reboco e pintura acrílica a 2 demãos, incl. pilares, cintas e sapatas, empregando arg. Cimento cal e areia</t>
  </si>
  <si>
    <t xml:space="preserve"> 20.1.5 </t>
  </si>
  <si>
    <t xml:space="preserve"> COMP-ARQ-33 </t>
  </si>
  <si>
    <t>Muro de alvenaria de blocos cerâmicos 10x20x20cm, c/ pilares a cada 2 m, esp. 10cm e h=0.5m, revestido com chapisco, reboco e pintura acrílica a 2 demãos, incl. pilares, cintas e sapatas, empregando arg. Cimento cal e areia</t>
  </si>
  <si>
    <t xml:space="preserve"> 20.2 </t>
  </si>
  <si>
    <t>PAVIMENTAÇÃO</t>
  </si>
  <si>
    <t xml:space="preserve"> 20.2.1 </t>
  </si>
  <si>
    <t xml:space="preserve"> 200202 </t>
  </si>
  <si>
    <t>Meio-fio de concreto pré-moldado com dimensões de 15x12x30x100 cm , rejuntados com argamassa de cimento e areia no traço 1:3</t>
  </si>
  <si>
    <t xml:space="preserve"> 20.2.2 </t>
  </si>
  <si>
    <t xml:space="preserve"> 200209 </t>
  </si>
  <si>
    <t>Passeio de cimentado camurçado com argamassa de cimento e areia no traço 1:3 esp. 1.5cm, e lastro de concreto com 8cm de espessura, inclusive preparo de caixa</t>
  </si>
  <si>
    <t xml:space="preserve"> 20.2.3 </t>
  </si>
  <si>
    <t xml:space="preserve"> 200214 </t>
  </si>
  <si>
    <t>Blocos pré-moldados de concreto tipo pavi-s ou equivalente, espessura 10 cm e resistência a compressão mínima de 35MPa, assentados sobre colchão de pó de pedra na espessura de 10 cm</t>
  </si>
  <si>
    <t xml:space="preserve"> 20.2.4 </t>
  </si>
  <si>
    <t xml:space="preserve"> 200237 </t>
  </si>
  <si>
    <t>Blocos pré-moldados de concreto tipo pavi-s ou equivalente, espessura de 6 cm e resistência a compressão mínima de 35MPa, assentados sobre colchão de pó de pedra na espessura de 10 cm</t>
  </si>
  <si>
    <t xml:space="preserve"> 20.3 </t>
  </si>
  <si>
    <t>PAISAGISMO</t>
  </si>
  <si>
    <t xml:space="preserve"> 20.3.1 </t>
  </si>
  <si>
    <t xml:space="preserve"> 200307 </t>
  </si>
  <si>
    <t>Fornecimento e espalhamento de terra vegetal</t>
  </si>
  <si>
    <t xml:space="preserve"> 20.3.2 </t>
  </si>
  <si>
    <t xml:space="preserve"> 98516 </t>
  </si>
  <si>
    <t>PLANTIO DE PALMEIRA COM ALTURA DE MUDA MENOR OU IGUAL A 2,00 M. AF_05/2018</t>
  </si>
  <si>
    <t xml:space="preserve"> 20.3.3 </t>
  </si>
  <si>
    <t xml:space="preserve"> COMP-ARQ-15 </t>
  </si>
  <si>
    <t>Fornecimento e plantio de GRAMA AMENDOIM</t>
  </si>
  <si>
    <t xml:space="preserve"> 20.3.4 </t>
  </si>
  <si>
    <t xml:space="preserve"> COMP-ARQ-16 </t>
  </si>
  <si>
    <t>Fornecimento e plantio de HELICÔNIA</t>
  </si>
  <si>
    <t xml:space="preserve"> 20.3.5 </t>
  </si>
  <si>
    <t xml:space="preserve"> COMP-ARQ-17 </t>
  </si>
  <si>
    <t>Fornecimento e plantio de GUAIMBÉ</t>
  </si>
  <si>
    <t xml:space="preserve"> 20.3.6 </t>
  </si>
  <si>
    <t xml:space="preserve"> COMP-ARQ-18 </t>
  </si>
  <si>
    <t>Fornecimento e plantio de SUNPATIENS</t>
  </si>
  <si>
    <t xml:space="preserve"> 20.3.7 </t>
  </si>
  <si>
    <t xml:space="preserve"> COMP-ARQ-19 </t>
  </si>
  <si>
    <t>Fornecimento e plantio de PALMEIRA CICA</t>
  </si>
  <si>
    <t xml:space="preserve"> 20.3.8 </t>
  </si>
  <si>
    <t xml:space="preserve"> COMP-ARQ-20 </t>
  </si>
  <si>
    <t>Fornecimento e plantio de PALMEIRA RABO DE RAPOSA</t>
  </si>
  <si>
    <t xml:space="preserve"> 20.3.9 </t>
  </si>
  <si>
    <t xml:space="preserve"> 98511 </t>
  </si>
  <si>
    <t>PLANTIO DE ÁRVORE ORNAMENTAL COM ALTURA DE MUDA MAIOR QUE 2,00 M E MENOR OU IGUAL A 4,00 M. AF_05/2018</t>
  </si>
  <si>
    <t xml:space="preserve"> 20.4 </t>
  </si>
  <si>
    <t>TRATAMENTO, CONSERVAÇÃO E LIMPEZA</t>
  </si>
  <si>
    <t xml:space="preserve"> 20.4.1 </t>
  </si>
  <si>
    <t xml:space="preserve"> 200401 </t>
  </si>
  <si>
    <t>Limpeza geral da obra (edificação)</t>
  </si>
  <si>
    <t xml:space="preserve"> 20.4.2 </t>
  </si>
  <si>
    <t xml:space="preserve"> 200404 </t>
  </si>
  <si>
    <t>Limpeza de pisos e revestimentos cerâmicos</t>
  </si>
  <si>
    <t xml:space="preserve"> 20.5 </t>
  </si>
  <si>
    <t>DIVERSOS EXTERNOS</t>
  </si>
  <si>
    <t xml:space="preserve"> 20.5.1 </t>
  </si>
  <si>
    <t xml:space="preserve"> 200576 </t>
  </si>
  <si>
    <t>Placa para inauguração de obra em alumínio polido e=4mm, dimensões 40 x 50 cm, gravação em baixo relevo, inclusive pintura e fixação</t>
  </si>
  <si>
    <t xml:space="preserve"> 20.5.2 </t>
  </si>
  <si>
    <t xml:space="preserve"> COMP-ARQ-21 </t>
  </si>
  <si>
    <t>Banco em madeira para área externa</t>
  </si>
  <si>
    <t xml:space="preserve"> 20.5.3 </t>
  </si>
  <si>
    <t xml:space="preserve"> 103315 </t>
  </si>
  <si>
    <t>INSTALAÇÃO DE PERGOLADO DE MADEIRA, EM MAÇARANDUBA, ANGELIM OU EQUIVALENTE DA REGIÃO, FIXADO COM CONCRETO SOBRE SOLO. AF_11/2021</t>
  </si>
  <si>
    <t xml:space="preserve"> 20.7 </t>
  </si>
  <si>
    <t>QUADRA DE ESPORTES (Ver nota 9 da planilha)</t>
  </si>
  <si>
    <t xml:space="preserve"> 21 </t>
  </si>
  <si>
    <t>SERVIÇOS COMPLEMENTARES INTERNOS</t>
  </si>
  <si>
    <t xml:space="preserve"> 21.1 </t>
  </si>
  <si>
    <t>QUADROS DE GIZ / AVISO</t>
  </si>
  <si>
    <t xml:space="preserve"> 21.2 </t>
  </si>
  <si>
    <t>ARMÁRIOS E PRATELEIRAS</t>
  </si>
  <si>
    <t xml:space="preserve"> 21.3 </t>
  </si>
  <si>
    <t>DIVERSOS INTERNOS</t>
  </si>
  <si>
    <t xml:space="preserve"> 21.3.1 </t>
  </si>
  <si>
    <t xml:space="preserve"> COMP-ARQ-22 </t>
  </si>
  <si>
    <t>Guarda corpo 110 de AÇO INOX fixado com pontaletes, CORRIMÃO DUPLO 92/70-MODELO</t>
  </si>
  <si>
    <t xml:space="preserve"> 21.3.2 </t>
  </si>
  <si>
    <t xml:space="preserve"> COMP-ARQ-23 </t>
  </si>
  <si>
    <t>Corrimão 92/70 de AÇO INOX DUPLO fixado com pontaletes -MODELO 1</t>
  </si>
  <si>
    <t xml:space="preserve"> 21.3.3 </t>
  </si>
  <si>
    <t xml:space="preserve"> COMP-ARQ-24 </t>
  </si>
  <si>
    <t>Corrimão 92 de AÇO INOX fixado parede</t>
  </si>
  <si>
    <t xml:space="preserve"> 21.3.4 </t>
  </si>
  <si>
    <t xml:space="preserve"> COMP-ARQ-25 </t>
  </si>
  <si>
    <t>Corrimão 92 de AÇO INOX fixado pontalete</t>
  </si>
  <si>
    <t xml:space="preserve"> 21.3.5 </t>
  </si>
  <si>
    <t xml:space="preserve"> COMP-ARQ-26 </t>
  </si>
  <si>
    <t>Guarda corpo 110 de AÇO INOX fixado com pontaletes</t>
  </si>
  <si>
    <t xml:space="preserve"> 21.3.6 </t>
  </si>
  <si>
    <t xml:space="preserve"> COMP-ARQ-27 </t>
  </si>
  <si>
    <t>Guarda corpo 110 de AÇO INOX fixado com pontaletes, CORRIMÃO 90</t>
  </si>
  <si>
    <t xml:space="preserve"> 22 </t>
  </si>
  <si>
    <t>EQUIPAMENTOS DE CLIMATIZAÇÃO ( BDI DIFERENCIADO)</t>
  </si>
  <si>
    <t xml:space="preserve"> 22.1 </t>
  </si>
  <si>
    <t>AR CONDICIONADO SPLIT ON/OFF, CASSETE (TETO), FRIO 4 VIAS 36000 BTU/H - FORNECIMENTO E INSTALAÇÃO. AF_11/2021_PE</t>
  </si>
  <si>
    <t xml:space="preserve"> 22.2 </t>
  </si>
  <si>
    <t xml:space="preserve"> 103245 </t>
  </si>
  <si>
    <t>AR CONDICIONADO SPLIT ON/OFF, HI-WALL (PAREDE), 9000 BTUS/H, CICLO FRIO - FORNECIMENTO E INSTALAÇÃO. AF_11/2021_PE</t>
  </si>
  <si>
    <t xml:space="preserve"> 22.3 </t>
  </si>
  <si>
    <t xml:space="preserve"> 103248 </t>
  </si>
  <si>
    <t>AR CONDICIONADO SPLIT ON/OFF, HI-WALL (PAREDE), 12000 BTUS/H, CICLO FRIO - FORNECIMENTO E INSTALAÇÃO. AF_11/2021_PE</t>
  </si>
  <si>
    <t xml:space="preserve"> 22.4 </t>
  </si>
  <si>
    <t xml:space="preserve"> 103251 </t>
  </si>
  <si>
    <t>AR CONDICIONADO SPLIT ON/OFF, HI-WALL (PAREDE), 18000 BTUS/H, CICLO FRIO - FORNECIMENTO E INSTALAÇÃO. AF_11/2021_PE</t>
  </si>
  <si>
    <t xml:space="preserve"> 22.5 </t>
  </si>
  <si>
    <t xml:space="preserve"> 103254 </t>
  </si>
  <si>
    <t>AR CONDICIONADO SPLIT ON/OFF, HI-WALL (PAREDE), 24000 BTUS/H, CICLO FRIO - FORNECIMENTO E INSTALAÇÃO. AF_11/2021_PE</t>
  </si>
  <si>
    <t xml:space="preserve"> 22.6 </t>
  </si>
  <si>
    <t xml:space="preserve"> 103273 </t>
  </si>
  <si>
    <t>AR CONDICIONADO SPLIT ON/OFF, CASSETE (TETO), FRIO 4 VIAS 48000 BTU/H - FORNECIMENTO E INSTALAÇÃO. AF_11/2021_PE</t>
  </si>
  <si>
    <t xml:space="preserve"> 22.7 </t>
  </si>
  <si>
    <t xml:space="preserve"> 103275 </t>
  </si>
  <si>
    <t>AR CONDICIONADO SPLIT ON/OFF, CASSETE (TETO), FRIO 4 VIAS 60000 BTU/H - FORNECIMENTO E INSTALAÇÃO. AF_11/2021_PE</t>
  </si>
  <si>
    <t xml:space="preserve"> 22.8 </t>
  </si>
  <si>
    <t xml:space="preserve"> 180608 </t>
  </si>
  <si>
    <t>Fornecimento e Instalação de Unidade Evaporadora e Condensadora de Ar Condicionado tipo Split Inverter Piso Teto de 36.000 BTU´s 220V - Ciclo Quente/Frio Classificação Energética A ou B (Selo PROCEL), inclusive amortecedores vibra-stop</t>
  </si>
  <si>
    <t xml:space="preserve"> 22.9 </t>
  </si>
  <si>
    <t xml:space="preserve"> 161015 </t>
  </si>
  <si>
    <t>Gás refrigerante R410A</t>
  </si>
  <si>
    <t>kg</t>
  </si>
  <si>
    <t xml:space="preserve"> 22.10 </t>
  </si>
  <si>
    <t xml:space="preserve"> COMP-CLI-05 </t>
  </si>
  <si>
    <t>SISTEMA VRF - 220V/3 - CAPACIDADE 22HP - 220.000 BTU/H, Unidade Condensadora modelo CRUN221BTE5, COMBINAÇÃO CRUN120BTE5 + CRUN100BTE5. CRUN221BTE5</t>
  </si>
  <si>
    <t xml:space="preserve"> 22.11 </t>
  </si>
  <si>
    <t xml:space="preserve"> COMP-CLI-06 </t>
  </si>
  <si>
    <t>SISTEMA VRF - 220V/3 - CAPACIDADE 26HP - 260.000 BTU/H, Unidade Condensadora modelo CRUN261BTE5, COMBINAÇÃO CRUN140BTE5 + CRUN120BTE5</t>
  </si>
  <si>
    <t xml:space="preserve"> 22.12 </t>
  </si>
  <si>
    <t xml:space="preserve"> COMP-CLI-07 </t>
  </si>
  <si>
    <t>SISTEMA VRF - 220V/3 - CAPACIDADE 32HP - 320.000 BTU/H, Unidade Condensadora modelo CRUN320BTE5, COMBINAÇÃO CRUN200BTE5 + CRUN120BTE5</t>
  </si>
  <si>
    <t xml:space="preserve"> 22.13 </t>
  </si>
  <si>
    <t xml:space="preserve"> COMP-CLI-08 </t>
  </si>
  <si>
    <t>SISTEMA VRF - 220V/3 - CAPACIDADE 34HP - 340.000 BTU/H, Unidade Condensadora modelo CRUN340BTE5, COMBINAÇÃO CRUN220BTE5 + CRUN120BTE5</t>
  </si>
  <si>
    <t xml:space="preserve"> 22.14 </t>
  </si>
  <si>
    <t xml:space="preserve"> COMP-CLI-09 </t>
  </si>
  <si>
    <t>SISTEMA VRF - 220V/3 - CAPACIDADE 36HP - 360.000 BTU/H, Unidade Condensadora modelo CRUN360BTE5, COMBINAÇÃO CRUN240BTE5 + CRUN120BTE5.</t>
  </si>
  <si>
    <t xml:space="preserve"> 22.15 </t>
  </si>
  <si>
    <t xml:space="preserve"> COMP-CLI-10 </t>
  </si>
  <si>
    <t>SISTEMA VRF - 220V/3 - CAPACIDADE 42HP - 420.000 BTU/H, Unidade Condensadora modelo CRUN420BTE5, COMBINAÇÃO CRUN240BTE5 + CRUN180BTE5</t>
  </si>
  <si>
    <t xml:space="preserve"> 22.16 </t>
  </si>
  <si>
    <t xml:space="preserve"> COMP-CLI-11 </t>
  </si>
  <si>
    <t>SISTEMA VRF - CAPACIDADE 0,9HP - 9.000 BTU/H, Unidade Evaporadora modelo HI-WALL</t>
  </si>
  <si>
    <t xml:space="preserve"> 22.17 </t>
  </si>
  <si>
    <t xml:space="preserve"> COMP-CLI-12 </t>
  </si>
  <si>
    <t>SISTEMA VRF - CAPACIDADE 1,2HP - 12.000 BTU/H, Unidade Evaporadora modelo HI-WALL</t>
  </si>
  <si>
    <t xml:space="preserve"> COMP-CLI-13 </t>
  </si>
  <si>
    <t>SISTEMA VRF - CAPACIDADE 1,8HP - 18.000 BTU/H, Unidade Evaporadora modelo HI-WALL</t>
  </si>
  <si>
    <t xml:space="preserve"> 22.18 </t>
  </si>
  <si>
    <t xml:space="preserve"> COMP-CLI-14 </t>
  </si>
  <si>
    <t>SISTEMA VRF - CAPACIDADE 2,4HP - 24.000 BTU/H, Unidade Evaporadora modelo HI-WALL</t>
  </si>
  <si>
    <t xml:space="preserve"> 22.19 </t>
  </si>
  <si>
    <t xml:space="preserve"> COMP-CLI-15 </t>
  </si>
  <si>
    <t>SISTEMA VRF - CAPACIDADE 3,0HP - 30.000 BTU/H, Unidade Evaporadora modelo HI-WALL</t>
  </si>
  <si>
    <t xml:space="preserve"> 22.20 </t>
  </si>
  <si>
    <t xml:space="preserve"> COMP-CLI-16 </t>
  </si>
  <si>
    <t>SISTEMA VRF - CAPACIDADE 3,6HP - 36.000 BTU/H, Unidade Evaporadora modelo HI-WALL</t>
  </si>
  <si>
    <t xml:space="preserve"> 22.21 </t>
  </si>
  <si>
    <t xml:space="preserve"> COMP-CLI-17 </t>
  </si>
  <si>
    <t>SISTEMA VRF - CAPACIDADE 4,8HP - 48.000 BTU/H, Unidade Evaporadora modelo PISO-TETO</t>
  </si>
  <si>
    <t xml:space="preserve"> 22.22 </t>
  </si>
  <si>
    <t xml:space="preserve"> COMP-CLI-18 </t>
  </si>
  <si>
    <t>SISTEMA VRF - CAPACIDADE 3,6HP - 36.000 BTU/H, Unidade Evaporadora modelo CASSETE</t>
  </si>
  <si>
    <t xml:space="preserve"> 22.23 </t>
  </si>
  <si>
    <t xml:space="preserve"> COMP-CLI-19 </t>
  </si>
  <si>
    <t>SISTEMA VRF - CAPACIDADE 4,2HP - 42.000 BTU/H, Unidade Evaporadora modelo CASSETE</t>
  </si>
  <si>
    <t xml:space="preserve"> 22.24 </t>
  </si>
  <si>
    <t xml:space="preserve"> COMP-CLI-20 </t>
  </si>
  <si>
    <t>SISTEMA VRF - CAPACIDADE 4,8HP - 48.000 BTU/H, Unidade Evaporadora modelo CASSETE</t>
  </si>
  <si>
    <t xml:space="preserve"> 22.25 </t>
  </si>
  <si>
    <t xml:space="preserve"> COMP-CLI-21 </t>
  </si>
  <si>
    <t>Perfil Y, Branch/Header/Tubo comum - modelo ARBLN01621 (LG)</t>
  </si>
  <si>
    <t xml:space="preserve"> 22.26 </t>
  </si>
  <si>
    <t xml:space="preserve"> COMP-CLI-22 </t>
  </si>
  <si>
    <t>Perfil Y, Branch/Header/Tubo comum - modelo ARBLN03321 (LG)</t>
  </si>
  <si>
    <t xml:space="preserve"> 22.27 </t>
  </si>
  <si>
    <t xml:space="preserve"> COMP-CLI-23 </t>
  </si>
  <si>
    <t>Perfil Y, Branch/Header/Tubo comum - modelo ARBLN07121 (LG)</t>
  </si>
  <si>
    <t xml:space="preserve"> 22.28 </t>
  </si>
  <si>
    <t xml:space="preserve"> COMP-CLI-24 </t>
  </si>
  <si>
    <t>Perfil Y, Branch/Header/Tubo comum - modelo ARBLN14521 (LG)</t>
  </si>
  <si>
    <t xml:space="preserve"> 22.29 </t>
  </si>
  <si>
    <t xml:space="preserve"> COMP-CLI-25 </t>
  </si>
  <si>
    <t>Perfil Y, Branch/Header/Tubo comum - modelo ARCNN21 (LG)</t>
  </si>
  <si>
    <t>EXTRAS</t>
  </si>
  <si>
    <t>23.1</t>
  </si>
  <si>
    <t>Comp.</t>
  </si>
  <si>
    <t>Emassamento de paredes e forros, com duas demãos de massa acrílica, marcas de referência Suvinil, Coral ou Metalatex, inclusive acesso por cordas e plataforma trabalho em altura - PTA</t>
  </si>
  <si>
    <t>23.2</t>
  </si>
  <si>
    <t>200134</t>
  </si>
  <si>
    <t>DER-ES</t>
  </si>
  <si>
    <t>Fornecimento e instalação de Gradil Nylofor 3D, em painel de aço galv., H: 2,03m - Belgo ou equivalente, malha retangular 200x50mm e fio de aço Ø5,0mm, incl. poste de aço galv. 60x40mm, chumbado em base de concreto</t>
  </si>
  <si>
    <t>23.3</t>
  </si>
  <si>
    <t>23.4</t>
  </si>
  <si>
    <t>TUBO DE PVC PARA DRENAGEM, DN 300 MM - FORNECIMENTO E ASSENTAMENTO</t>
  </si>
  <si>
    <t>23.5</t>
  </si>
  <si>
    <t>Demolição manual de concreto armado (EMOP 05.001.033)</t>
  </si>
  <si>
    <t>23.6</t>
  </si>
  <si>
    <t>Muro de alvenaria de blocos cerâmicos 19x19x39cm, c/ pilares a cada 2 m, esp. 20cm e h=3.9m, revestido com chapisco, reboco e pintura acrílica a 2 demãos, incl. pilares, cintas e sapatas, empregando arg. cimento cal e areia</t>
  </si>
  <si>
    <t>23.7</t>
  </si>
  <si>
    <t>Execução de fechamento em ACM com técnicas de trabalho em altura, incluindo acesso por cordas (IRATA) e uso de plataforma de trabalho em altura PTA</t>
  </si>
  <si>
    <t>23.8</t>
  </si>
  <si>
    <t>Pintura sobre cerâmica aparente, aplicação manual, com duas demãos de verniz acrílico a base de água, acabamento fosco, referência Suvinil, Coral, Metalatex ou equivalente, incluindo acesso por cordas e uso de plataforma elevatória</t>
  </si>
  <si>
    <t>23.9</t>
  </si>
  <si>
    <t>MONTAGEM E CONCRETAGEM DE LAJE STEEL DECK,  INCLUSIVE TRABALHO EM ALTURA, SOBRE VIGAS METÁLICAS - INCLUSIVE
FÔRMAS METÁLICAS</t>
  </si>
  <si>
    <t>23.10</t>
  </si>
  <si>
    <t>Tanque vertical em polietileno, capacidade de 20.000 litros, com tampa de 1/4 de volta e vedação total, marcas de referência Fortlev, Bakof Tec, Rotoplastyc ou equivalente, incl. transporte horizontal manual até base de torre, transporte vertical com caminhão munck para içamento</t>
  </si>
  <si>
    <t>23.11</t>
  </si>
  <si>
    <t>ESCADA HIDRÁULICA, LARGURA ATÉ 1M, TIPO DESCIDA DÁGUA DE CORTE OU ATERRO EM DEGRAUS (DCD 02, 04 E DAD 02), EM CONCRETO USINADO, FCK = 20 MPA, LANÇADO COM BOMBA, INCLUINDO ARMAÇÃO, MATERIAIS E FÔRMAS (3 UTILIZAÇÕES).</t>
  </si>
  <si>
    <t>23.13</t>
  </si>
  <si>
    <t>23.14</t>
  </si>
  <si>
    <t>Locação de obra com gabarito de madeira</t>
  </si>
  <si>
    <t>23.15</t>
  </si>
  <si>
    <t>ESTACA HÉLICE CONTÍNUA, DIÂMETRO DE 30 CM, INCLUSO CONCRETO FCK=30MPA E ARMADURA MÍNIMA (EXCLUSIVE BOMBEAMENTO, MOBILIZAÇÃO E DESMOBILIZAÇÃO). AF_12/2019_PA</t>
  </si>
  <si>
    <t>23.16</t>
  </si>
  <si>
    <t>ARRASAMENTO MECANICO DE ESTACA DE CONCRETO ARMADO, DIAMETROS DE ATÉ 40 CM. AF_05/2021</t>
  </si>
  <si>
    <t>23.17</t>
  </si>
  <si>
    <t>CORTE E DOBRA DE AÇO CA-60, DIÂMETRO DE 5,0 MM. AF_06/2022</t>
  </si>
  <si>
    <t>23.18</t>
  </si>
  <si>
    <t>SISTEMA DE CFTV, INCLUINDO FORNECIMENTO E INSTALAÇAO 64 CANAIS</t>
  </si>
  <si>
    <t>23.19</t>
  </si>
  <si>
    <t>KIT DE PORTA DUPLA DE MADEIRA PARA VERNIZ, SEMI-OCA (LEVE OU MÉDIA), PADRÃO UN CR 913,25 MÉDIO, 136X300CM, ESPESSURA DE 3,5CM, ITENS INCLUSOS: DOBRADIÇAS, MONTA GEM E INSTALAÇÃO DE BATENTE, FECHADURA COM EXECUÇÃO DO FURO - FORNECIM ENTO E INSTALAÇÃO</t>
  </si>
  <si>
    <t>23.20</t>
  </si>
  <si>
    <t>071104</t>
  </si>
  <si>
    <t>Portão de ferro de abrir em barra chata, inclusive chumbamento</t>
  </si>
  <si>
    <t>23.21</t>
  </si>
  <si>
    <t>Portão de ferro de correr em barra chata, inclusive chumbamento</t>
  </si>
  <si>
    <t>23.22</t>
  </si>
  <si>
    <t>071105</t>
  </si>
  <si>
    <t>Grade de ferro em barra chata, inclusive chumbamento</t>
  </si>
  <si>
    <t>23.23</t>
  </si>
  <si>
    <t>071107</t>
  </si>
  <si>
    <t>Portão de ferro de abrir em barra chata, chapa e tubo, inclusive chumbamento</t>
  </si>
  <si>
    <t>23.24</t>
  </si>
  <si>
    <t>040315</t>
  </si>
  <si>
    <t>Fornecimento, preparo e aplicação de concreto Fck = 30 MPa (com brita 1 e 2) - (5% de perdas já incluído no custo)</t>
  </si>
  <si>
    <t>23.25</t>
  </si>
  <si>
    <t>040328</t>
  </si>
  <si>
    <t>Fornecimento, dobragem e colocação em fôrma, de armadura CA-50 A média, diâmetro de 6.3 a 10.0 mm</t>
  </si>
  <si>
    <t>23.26</t>
  </si>
  <si>
    <t>040333</t>
  </si>
  <si>
    <t>Fornecimento, dobragem e colocação em fôrma, de armadura CA-60 B fina, diâmetro de 4.0 a 7.0mm</t>
  </si>
  <si>
    <t>23.27</t>
  </si>
  <si>
    <t>040339</t>
  </si>
  <si>
    <t>Forma de chapas madeira compensada resinada, esp. 12mm, levando-se em conta a utilização 3 vezes, reforçadas com sarrafos de madeira de 2.5 x 10.0cm (incl material, corte, montagem, escoras em eucalipto e desforma)</t>
  </si>
  <si>
    <t>23.28</t>
  </si>
  <si>
    <t>090403</t>
  </si>
  <si>
    <t>Platibanda de alvenaria de bloco cerâmico 10x20x20cm, assentado com argamassa de cimento, cal hidratada CH1 e areia no traço 1:0,5:8, amarrada com pilaretes em conc. arm. a cada 2m (H=1.0m), excl. revest.</t>
  </si>
  <si>
    <t>23.29</t>
  </si>
  <si>
    <t>151806</t>
  </si>
  <si>
    <t>Ponto padrão de tomada para ar refrigerado - considerando eletroduto PVC rígido de 3/4" inclusive conexões (6.0m), fio isolado PVC de 4.0mm2 (21.6m) e caixa PVC 4x2" (1 und)</t>
  </si>
  <si>
    <t>23.30</t>
  </si>
  <si>
    <t>Letra tipo Caixa em chapa de aço inox 304 escovado N16 - Largura: 25 cm, Altura: 50 cm e Prof. 3cm, inclusive fixação</t>
  </si>
  <si>
    <t>23.31</t>
  </si>
  <si>
    <t>Pintura em paredes e forros, aplicação manual, com três demão de tinta látex acrílico premium, referência Coral e Metalatex, inclusive uma demão de liquido selador acrílico, referência Suvinil, Coral ou Metalatex ou equivalente</t>
  </si>
  <si>
    <t>23.32</t>
  </si>
  <si>
    <t>Ponto padrão de tomada 2 pólos mais terra - considerando eletroduto PVC rígido de 3/4" inclusive conexões (5.0m), fio isolado PVC de 2.5mm2 (16.5m) e caixa pvc 4x2" (1 und)</t>
  </si>
  <si>
    <t>23.33</t>
  </si>
  <si>
    <t>Revestimento em Mármore para Paredes</t>
  </si>
  <si>
    <t>23.34</t>
  </si>
  <si>
    <t>REVESTIMENTO EM MARMORE DE ESCADA EXTERNA, ESPESSURA 2 CM, INCLUSIVE ASSENTAMENTO COM ARGAMASSA AC-III, PISO E ESPELHO</t>
  </si>
  <si>
    <t>23.35</t>
  </si>
  <si>
    <t>FILTRO ANAERÓBIO DE ANÉIS PRÉ-MOLDADOS DE CONCRETO, DIÂM. 2.0M, HÚTIL 2.0M, COMPL., INCL. TAMPA C/VISITA 60CM, CONCRETO P/ FUNDO ESP. 10CM, ESCAVAÇÃO, BRITA 4 E TUBULAÇÃO DE SAÍDA ESGOTO 150MM, CONF. PROJ.</t>
  </si>
  <si>
    <t>23.36</t>
  </si>
  <si>
    <t>FOSSA SÉPTICA DE ANÉIS PRÉ-MOLDADOS DE CONCRETO, DIÂMETRO 2.00 M, HÚTIL 2.0M COMPLETA, INCLUINDO TAMPA C/VISITA DE 60CM, CONCRETO P/ FUNDO ESP.10 CM, TUBO DE LIMPEZA E ESCAVAÇÃO, CONF. DETALHE EM PROJETO</t>
  </si>
  <si>
    <t>23.37</t>
  </si>
  <si>
    <t>POSTE ACO CONICO 3,0m 2 PETALAS 1 70W+1 LED 60W 6.600 LUMEN</t>
  </si>
  <si>
    <t>23.38</t>
  </si>
  <si>
    <t>FORNECIMENTO E INSTALAÇÃO DE PLACAS CIMENTICIAS 10MM, COM ESTRUTURA DE METALON</t>
  </si>
  <si>
    <t>23.39</t>
  </si>
  <si>
    <t>FORNECIMENTO E INSTALAÇÃO DE MOTOR AUTOMATIZADOR DE PORTÃO ROLANTE</t>
  </si>
  <si>
    <t>23.40</t>
  </si>
  <si>
    <t>Vidro fantasia mini-boreal, com 4 mm de espessura</t>
  </si>
  <si>
    <t>23.41</t>
  </si>
  <si>
    <t>23.42</t>
  </si>
  <si>
    <t>23.43</t>
  </si>
  <si>
    <t>TELHAMENTO COM TELHA METALICA TERMOACUSTICA COM ACABAMENTO AMADEIRADO</t>
  </si>
  <si>
    <t>23.44</t>
  </si>
  <si>
    <t>DECK EXTERNO COM BARROTEAMENTO EM MADEIRA DE LEI</t>
  </si>
  <si>
    <t>PROJETOS INTERNOS - FASE 2</t>
  </si>
  <si>
    <t>24.1</t>
  </si>
  <si>
    <t>PLANILHA DE PROJETOS DER-ES</t>
  </si>
  <si>
    <t xml:space="preserve">PROJETO ARQUITETÔNICO </t>
  </si>
  <si>
    <t>24.2</t>
  </si>
  <si>
    <t>ELABORAÇÃO DE PROJETO DE TOPOGRAFICO</t>
  </si>
  <si>
    <t>24.3</t>
  </si>
  <si>
    <t>LEVANTAMENTO ARQUITETÔNICO</t>
  </si>
  <si>
    <t>24.4</t>
  </si>
  <si>
    <t>LEVANTAMENTO DE REDES HIDROSSANITÁRIAS</t>
  </si>
  <si>
    <t>24.5</t>
  </si>
  <si>
    <t>LEVANTAMENTO DE CARGAS E REDES ELÉTRICAS</t>
  </si>
  <si>
    <t>24.6</t>
  </si>
  <si>
    <t xml:space="preserve">PROJETO ESTRUTURAL, INCLUSIVE FUNDAÇÃO </t>
  </si>
  <si>
    <t>24.7</t>
  </si>
  <si>
    <t>PROJETO DE ESTRUTURA METÁLICA</t>
  </si>
  <si>
    <t>24.8</t>
  </si>
  <si>
    <t>PROJETO HIDROSSANITÁRIO</t>
  </si>
  <si>
    <t>24.9</t>
  </si>
  <si>
    <t>PROJETO REDES ELÉTRICAS</t>
  </si>
  <si>
    <t>24.10</t>
  </si>
  <si>
    <t>PROJETO SIST. CABEAMENTO ESTRUTURADO (VOZ, DADOS E SONORIZAÇÃO)</t>
  </si>
  <si>
    <t>24.11</t>
  </si>
  <si>
    <t>PROJETO DE ALARME E CFTV</t>
  </si>
  <si>
    <t>24.12</t>
  </si>
  <si>
    <t xml:space="preserve">PROJETO SPDA (PARARRAIO) </t>
  </si>
  <si>
    <t>PROJETOS EXTERNOS - FASE 2</t>
  </si>
  <si>
    <t>25.1</t>
  </si>
  <si>
    <t>PROJETO ELÉTRICO</t>
  </si>
  <si>
    <t>25.2</t>
  </si>
  <si>
    <t xml:space="preserve">LEVANTAMENTO DE CARGAS E REDES ELÉTRICAS (PARA IMPLEMENTOS EXTERNOS) </t>
  </si>
  <si>
    <t>25.3</t>
  </si>
  <si>
    <t>25.4</t>
  </si>
  <si>
    <t>LEVANTAMENTO DE REDES HIDROSSANITÁRIAS (PARA IMPLEMENTOS EXTERNOS)</t>
  </si>
  <si>
    <t>25.5</t>
  </si>
  <si>
    <t>PROJETO DE TELECOMUNICAÇÃO</t>
  </si>
  <si>
    <t>25.6</t>
  </si>
  <si>
    <t>PROJETO DE TERRAPLENAGEM</t>
  </si>
  <si>
    <t>25.7</t>
  </si>
  <si>
    <t>PROJETO DE DRENAGEM</t>
  </si>
  <si>
    <t>25.8</t>
  </si>
  <si>
    <t>PROJETO DE URBANISMO (MUROS, CALÇADAS, PAVIMENTAÇÕES, CANTEIROS, ACESSOS, OUTROS)</t>
  </si>
  <si>
    <t>25.9</t>
  </si>
  <si>
    <t>PROJETO DE PAISAGISMO (ESPÉCIES, PORTES, QUANTIDADES, MOBILIÁRIO EXTERNO E ACESSÓRIOS)</t>
  </si>
  <si>
    <t>25.10</t>
  </si>
  <si>
    <t>PROJETO DE SINALIZAÇÃO (INTERNO E EXTERNO)</t>
  </si>
  <si>
    <t>25.11</t>
  </si>
  <si>
    <t>MAQUETE 3D</t>
  </si>
  <si>
    <t>PROJETOS AS BUILT</t>
  </si>
  <si>
    <t>26.1</t>
  </si>
  <si>
    <t>26.2</t>
  </si>
  <si>
    <t>26.3</t>
  </si>
  <si>
    <t>26.4</t>
  </si>
  <si>
    <t>26.5</t>
  </si>
  <si>
    <t>MEMÓRIA DE CÁLCULO</t>
  </si>
  <si>
    <t>Nº</t>
  </si>
  <si>
    <t>Código</t>
  </si>
  <si>
    <t>Banco</t>
  </si>
  <si>
    <t>Descrição</t>
  </si>
  <si>
    <t>Unidade</t>
  </si>
  <si>
    <t>Quant.</t>
  </si>
  <si>
    <t>Encargos Sociais: Não Desonerado: embutido nos preços unitário dos insumos de mão de obra, de acordo com as bases.</t>
  </si>
  <si>
    <t>1° ADITIVO</t>
  </si>
  <si>
    <t>PLANILHA</t>
  </si>
  <si>
    <t>TOTAL</t>
  </si>
  <si>
    <t>Memória de Cálculo</t>
  </si>
  <si>
    <t>altura x largura (2,0 x 4,0 = 8,0 m²)</t>
  </si>
  <si>
    <t xml:space="preserve"> 010201 </t>
  </si>
  <si>
    <t>área térreo (retirado do projeto arquitetônico)</t>
  </si>
  <si>
    <t>52,26+1038,67+205,92</t>
  </si>
  <si>
    <t xml:space="preserve"> </t>
  </si>
  <si>
    <t>NECESSÁRIO DEMOLIÇÃO DE RESTANTE DO CONTRAPISO DA OBRA DO ANEXO+ ÁREA FRONTAL DO LADRILHO HIDRÁULICO</t>
  </si>
  <si>
    <t>comprimento da rede energia (retirado do projeto arquitetônico)</t>
  </si>
  <si>
    <t>EXISTENTE NA MEMÓRIA DE CÁLCULO</t>
  </si>
  <si>
    <t>1643,13+23,91</t>
  </si>
  <si>
    <t>comprimento da rede de água (retirado do projeto arquitetônico)</t>
  </si>
  <si>
    <t>comprimento da rede de esgoto (retirado do projeto arquitetônico)</t>
  </si>
  <si>
    <t>367,52+11,93</t>
  </si>
  <si>
    <t>volume de corte em m³ (retirado do projeto estrutural)</t>
  </si>
  <si>
    <t>volume de reaterro em m³ (retirado do projeto estrutural)</t>
  </si>
  <si>
    <t>volume de concreto em m³ (retirado do projeto estrutural)</t>
  </si>
  <si>
    <t>(16,16)+(279,64)</t>
  </si>
  <si>
    <t>CERCA DO CAMPO - E LATERAL DA IGREJA</t>
  </si>
  <si>
    <t>peso da armadura em kg (retirado do projeto estrutural)</t>
  </si>
  <si>
    <t>volume de forma em m³ (retirado do projeto estrutural)</t>
  </si>
  <si>
    <t>4453,52+88,46</t>
  </si>
  <si>
    <t>13252,88+259,84</t>
  </si>
  <si>
    <t>DEMOLIÇÃO RODAPÉ DO PISO</t>
  </si>
  <si>
    <t>extensão da alvenaria (retirado do projeto arquitetônico)</t>
  </si>
  <si>
    <t xml:space="preserve"> 010402 </t>
  </si>
  <si>
    <t>área da alvenaria (retirado do projeto arquitetônico)</t>
  </si>
  <si>
    <t xml:space="preserve"> 010404 </t>
  </si>
  <si>
    <t>5+20</t>
  </si>
  <si>
    <t>área coberta do telhado (retirado do projeto arquitetônico)</t>
  </si>
  <si>
    <t xml:space="preserve"> 2 </t>
  </si>
  <si>
    <t>área da estrutura do telhado (retirado do projeto arquitetônico)</t>
  </si>
  <si>
    <t xml:space="preserve"> 020305 </t>
  </si>
  <si>
    <t>EXTRAIDO DO MEMORIAL DE CALCULO</t>
  </si>
  <si>
    <t>2+14</t>
  </si>
  <si>
    <t xml:space="preserve"> 020339 </t>
  </si>
  <si>
    <t xml:space="preserve"> 020344 </t>
  </si>
  <si>
    <t>área da alvenaria chapisco (retirado do projeto arquitetônico)</t>
  </si>
  <si>
    <t xml:space="preserve"> 020348 </t>
  </si>
  <si>
    <t>área da alvenaria emborço (retirado do projeto arquitetônico)</t>
  </si>
  <si>
    <t xml:space="preserve"> 020350 </t>
  </si>
  <si>
    <t>área da alvenaria reboco (retirado do projeto arquitetônico)</t>
  </si>
  <si>
    <t xml:space="preserve"> 020355 </t>
  </si>
  <si>
    <t>área da alvenaria azuleijo (retirado do projeto arquitetônico)</t>
  </si>
  <si>
    <t>comprimento dos peitoris de 40 cm de largura (retirado do projeto arquitetônico)</t>
  </si>
  <si>
    <t xml:space="preserve"> 020701 </t>
  </si>
  <si>
    <t>comprimento dos peitoris de 15 cm de largura (retirado do projeto arquitetônico)</t>
  </si>
  <si>
    <t xml:space="preserve"> 020702 </t>
  </si>
  <si>
    <t xml:space="preserve"> 020703 </t>
  </si>
  <si>
    <t>área da alvenaria reboco pintado com tinta latex PVA (retirado do projeto arquitetônico)</t>
  </si>
  <si>
    <t xml:space="preserve"> 020704 </t>
  </si>
  <si>
    <t>área da alvenaria reboco pintado com tinta acrílica (retirado do projeto arquitetônico)</t>
  </si>
  <si>
    <t xml:space="preserve"> 020708 </t>
  </si>
  <si>
    <t xml:space="preserve"> 020709 </t>
  </si>
  <si>
    <t>área do piso com revestimento cerâmico (retirado do projeto arquitetônico)</t>
  </si>
  <si>
    <t xml:space="preserve"> 3 </t>
  </si>
  <si>
    <t>comprimento do rodapé (retirado do projeto arquitetônico)</t>
  </si>
  <si>
    <t xml:space="preserve"> 030101 </t>
  </si>
  <si>
    <t>2892,61+182,63</t>
  </si>
  <si>
    <t xml:space="preserve"> 96523 </t>
  </si>
  <si>
    <t xml:space="preserve"> 90082 </t>
  </si>
  <si>
    <t>área de janela de correr (retirado do projeto arquitetônico)</t>
  </si>
  <si>
    <t xml:space="preserve"> 93382 </t>
  </si>
  <si>
    <t>área de báscula (retirado do projeto arquitetônico)</t>
  </si>
  <si>
    <t>número de portas de madeira 0.90 x 2.10 m (retirado do projeto arquitetônico)</t>
  </si>
  <si>
    <t xml:space="preserve"> 030206 </t>
  </si>
  <si>
    <t>número de portas de madeira 0.80 x 2.10 m (retirado do projeto arquitetônico)</t>
  </si>
  <si>
    <t xml:space="preserve"> 030304 </t>
  </si>
  <si>
    <t>Campo e Estrutura de Concreto</t>
  </si>
  <si>
    <t xml:space="preserve"> 4 </t>
  </si>
  <si>
    <t>área de vidro plano transparente  4 mm (retirado do projeto arquitetônico)</t>
  </si>
  <si>
    <t>número de portas de madeira 1.60 x 2.10 m (retirado do projeto arquitetônico)</t>
  </si>
  <si>
    <t xml:space="preserve"> 96616 </t>
  </si>
  <si>
    <t>número de alçapão 0.60 x 0.60 m (retirado do projeto arquitetônico)</t>
  </si>
  <si>
    <t>3,95+(((1,611*1,611)*2)+((2,05*1,3)*2)+((2,05*1,3)*2+((1,611*1,611)*2)+((0,80*0,80*6+0,8*0,8*2))))*0,05</t>
  </si>
  <si>
    <t xml:space="preserve"> 96532 </t>
  </si>
  <si>
    <t>número de portão de ferro (retirado do projeto arquitetônico)</t>
  </si>
  <si>
    <t xml:space="preserve"> 96558 </t>
  </si>
  <si>
    <t xml:space="preserve"> 97096 </t>
  </si>
  <si>
    <t>número de vaso sanitários (retirado do projeto hidrossanitário)</t>
  </si>
  <si>
    <t>CONCRETAGEM COM RADIER NO ANEXO + EXTENSÃO DA CIRCULAÇÃO DO ANEXO + AR CONDICIONADO + CAIXA DAGUA + SUBSOLO+CALÇADA DO ANEXO</t>
  </si>
  <si>
    <t xml:space="preserve"> 96544 </t>
  </si>
  <si>
    <t>número de lavatórios (retirado do projeto hidrossanitário)</t>
  </si>
  <si>
    <t xml:space="preserve"> 96545 </t>
  </si>
  <si>
    <t>número de portão de ferro (retirado do projeto hidrossanitário)</t>
  </si>
  <si>
    <t>1139+(103+34,6)+((8+8)*8)*0,395</t>
  </si>
  <si>
    <t>FUNDAÇÃO DA ESCADA</t>
  </si>
  <si>
    <t xml:space="preserve"> 96546 </t>
  </si>
  <si>
    <t xml:space="preserve"> 96547 </t>
  </si>
  <si>
    <t>número de bancada de mármore (retirado do projeto arquitetônico)</t>
  </si>
  <si>
    <t>2445+(218,1+1598,6)</t>
  </si>
  <si>
    <t xml:space="preserve"> 96548 </t>
  </si>
  <si>
    <t>número de pias de aço inox (retirado do projeto hidrossanitário)</t>
  </si>
  <si>
    <t>número de torneiras diam 1/2" (retirado do projeto hidrossanitário)</t>
  </si>
  <si>
    <t xml:space="preserve"> 4.3.1</t>
  </si>
  <si>
    <t>SUPORTE AR, REFORÇO REFEITÓRIO, ADAPTAÇÕES ELEVADOR, ESCADA METÁLICA, ESTRUTURA DO ANEXO, TELHADO PRINCIPAL</t>
  </si>
  <si>
    <t xml:space="preserve"> 97092 </t>
  </si>
  <si>
    <t>número de torneiras diam 3/4" (retirado do projeto hidrossanitário)</t>
  </si>
  <si>
    <t xml:space="preserve"> 100066 </t>
  </si>
  <si>
    <t xml:space="preserve"> 97113 </t>
  </si>
  <si>
    <t>metro linear (retirado do projeto hidrossanitário)</t>
  </si>
  <si>
    <t>número de caixa de passagens de alvenaria (retirado do projeto hidrossanitário)</t>
  </si>
  <si>
    <t>7,58+8,82</t>
  </si>
  <si>
    <t>número de bebedouros de aço inox (retirado do projeto hidrossanitário)</t>
  </si>
  <si>
    <t>número de caixa sifonada (retirado do projeto hidrossanitário)</t>
  </si>
  <si>
    <t>número de reservatório de 1000 L (retirado do projeto hidrossanitário)</t>
  </si>
  <si>
    <t>número de registro de gaveta 25 mm (retirado do projeto hidrossanitário)</t>
  </si>
  <si>
    <t>número de caixa de gordura (retirado do projeto hidrossanitário)</t>
  </si>
  <si>
    <t>número de torneira de bóia (retirado do projeto hidrossanitário)</t>
  </si>
  <si>
    <t>número de adaptador de PVC flange 20 mm x 1/2" (retirado do projeto hidrossanitário)</t>
  </si>
  <si>
    <t>número de adaptador de PVC flange 25 mm x 3/4" (retirado do projeto hidrossanitário)</t>
  </si>
  <si>
    <t>número de adaptador de PVC flange 50 mm x 1 1/2" (retirado do projeto hidrossanitário)</t>
  </si>
  <si>
    <t>número de padrão de entrada de água (retirado do projeto hidrossanitário)</t>
  </si>
  <si>
    <t>43,25+2,70</t>
  </si>
  <si>
    <t xml:space="preserve">número de pontos (retirado do projeto elétrico) </t>
  </si>
  <si>
    <t xml:space="preserve">número de extintores (retirado do projeto projeto de combate a incêndio) </t>
  </si>
  <si>
    <t xml:space="preserve">número de placas de sinalização (retirado do projeto projeto de combate a incêndio) </t>
  </si>
  <si>
    <t>739,97+208,43+68,21</t>
  </si>
  <si>
    <t>ADITIVAR A ALVENARIA, DOBRANDO O ITEM DE 10 CM - MÉDIA</t>
  </si>
  <si>
    <t>número de padrão de entrada de energia elétrica (retirado do projeto elétrico)</t>
  </si>
  <si>
    <t>940,86+178,53</t>
  </si>
  <si>
    <t>número de caixas de embutir 4x2" (retirado do projeto elétrico)</t>
  </si>
  <si>
    <t>número de caixas de embutir 4x4" (retirado do projeto elétrico)</t>
  </si>
  <si>
    <t>número de caixas de distribuição (retirado do projeto elétrico)</t>
  </si>
  <si>
    <t>número de interruptores de uma tecla paralelo 4x2" (retirado do projeto elétrico)</t>
  </si>
  <si>
    <t>número de interruptores de uma tecla simples 4x2" (retirado do projeto elétrico)</t>
  </si>
  <si>
    <t>número de quadros de distribuição (retirado do projeto elétrico)</t>
  </si>
  <si>
    <t>número de tomadas padrão 4x2" 10A/250V (retirado do projeto elétrico)</t>
  </si>
  <si>
    <t>número de tomadas padrão 4x2" 20A/250V (retirado do projeto elétrico)</t>
  </si>
  <si>
    <t>5+1 (SALA DE ESTUDOS)</t>
  </si>
  <si>
    <t>metro linear eletroduto PEAD 1 1/2" (retirado do projeto elétrico)</t>
  </si>
  <si>
    <t>metro linear eletroduto flexível 3/4" (retirado do projeto elétrico)</t>
  </si>
  <si>
    <t>(4-2)</t>
  </si>
  <si>
    <t>número de mini-disjuntores tripolar 63 A (retirado do projeto elétrico)</t>
  </si>
  <si>
    <t>4+32+1</t>
  </si>
  <si>
    <t>número de dispositivos de proteção surto (retirado do projeto elétrico)</t>
  </si>
  <si>
    <t>224,57+19,89</t>
  </si>
  <si>
    <t>número de interruptores diferencial (retirado do projeto elétrico)</t>
  </si>
  <si>
    <t>(4-4)</t>
  </si>
  <si>
    <t>número de mini-disjuntores bipolar 16 A (retirado do projeto elétrico)</t>
  </si>
  <si>
    <t>(23-23)</t>
  </si>
  <si>
    <t>número de mini-disjuntores monopolar 10 A (retirado do projeto elétrico)</t>
  </si>
  <si>
    <t>número de mini-disjuntores monopolar 16 A (retirado do projeto elétrico)</t>
  </si>
  <si>
    <t>20+2</t>
  </si>
  <si>
    <t>metro linear fio cobre 1,5 mm2 (retirado do projeto elétrico)</t>
  </si>
  <si>
    <t>(1-1)</t>
  </si>
  <si>
    <t>metro linear fio cobre 2,5 mm2 (retirado do projeto elétrico)</t>
  </si>
  <si>
    <t xml:space="preserve"> 6.14 </t>
  </si>
  <si>
    <t>PORTA EM MADEIRA DE LEI TIPO ANGELIM PEDRA/EQUIV, ESP. 30MM C/ ACAB. LISO P/ PINTURA, NCL. FECHADURA TIPO "LIVRE/OCUPADO" E FERRAGENS P/ FIXAÇÃO EM GRANITO, EXCLUSIVE MARCO</t>
  </si>
  <si>
    <t>metro linear fio ou cabo de cobre 4,0 mm2 (retirado do projeto elétrico)</t>
  </si>
  <si>
    <t xml:space="preserve"> 6.17 </t>
  </si>
  <si>
    <t>PORTA EM VENEZIANA, EM MADEIRA DE LEI, ESP. 30MM, INCL. DOBRADIÇAS, EXCLUSIVE
ALIZAR, MARCO E FECHADURA</t>
  </si>
  <si>
    <t>metro linear fio ou cabo de cobre 16,0 mm2 (retirado do projeto elétrico)</t>
  </si>
  <si>
    <t xml:space="preserve"> 6.19 </t>
  </si>
  <si>
    <t>PORTA EM MADEIRA DE LEI TIPO ANGELIM PEDRA OU EQUIV. C/ ENCHIMENTO EM MADEIRA DE 1ª QUALIDADE ESP 30MM, COM VISOR DE VIDRO, INCL. ALIZARES, DOBRADIÇAS E FECHADURAS EXT EM LATÃO CROMADO LAFONTE/EQUIV , EXCL. MARCO, NAS DIMENSÕES:</t>
  </si>
  <si>
    <t>número de luminaria (retirado do projeto elétrico)</t>
  </si>
  <si>
    <t xml:space="preserve"> 6.22 </t>
  </si>
  <si>
    <t>número de interruptor de três teclas simples (retirado do projeto elétrico)</t>
  </si>
  <si>
    <t xml:space="preserve"> 6.23 </t>
  </si>
  <si>
    <t>PORTA EM MADEIRA DE LEI COM ENCHIMENTO EM MADEIRA DE 1ª QUALIDADE, ESP. 30MM, PARA PINTURA, INCL. ALIZARES, DOBRADIÇAS, FECHADURA TIPO "LIVRE/OCUPADO" EXCLUSIVE MARCO</t>
  </si>
  <si>
    <t>número de interruptor de duas teclas simples (retirado do projeto elétrico)</t>
  </si>
  <si>
    <t xml:space="preserve"> 6.25 </t>
  </si>
  <si>
    <t>PORTA EM MADEIRA DE LEI TIPO ANGELIM PEDRA OU EQUIV.,ESP. 30 MM, MACIÇA C/ FRISO P/VERNIZ, PADRÃO SEDU, COM VISOR, INCLUSIVE ALIZARES, DOBRADIÇAS E FECHADURA DE BOLA EXTERNA, EXCLUSIVE MARCO</t>
  </si>
  <si>
    <t>número de mini-disjuntores tripolar 32 A (retirado do projeto elétrico)</t>
  </si>
  <si>
    <t>número de mini-disjuntores bipolar 63 A (retirado do projeto elétrico)</t>
  </si>
  <si>
    <t>número de mini-disjuntores bipolar 32 A (retirado do projeto elétrico)</t>
  </si>
  <si>
    <t>número de interruptores diferencial 80 A (retirado do projeto elétrico)</t>
  </si>
  <si>
    <t>24+4</t>
  </si>
  <si>
    <t>janelas que eram basculas do lab de enfernagem</t>
  </si>
  <si>
    <t>1,8+1,2</t>
  </si>
  <si>
    <t>40,92+12,69</t>
  </si>
  <si>
    <t>número de caixas de passagem (retirado do projeto elétrico)</t>
  </si>
  <si>
    <t>número de espelhos 4x2" (retirado do projeto elétrico)</t>
  </si>
  <si>
    <t>número de tomadas coaxil 75 ohms (retirado do projeto elétrico)</t>
  </si>
  <si>
    <t>393,09+21,59+5,2</t>
  </si>
  <si>
    <t>79,2+94,72+(3*1,00*1,50)  (ELEVADOR)  +(17,64) + 163,18</t>
  </si>
  <si>
    <t>ÁREA DA ESCADA</t>
  </si>
  <si>
    <t>metro linear tudo de cobre flexível 3/8" (retirado do projeto elétrico)</t>
  </si>
  <si>
    <t>metro linear tudo de cobre flexível 1/2" (retirado do projeto elétrico)</t>
  </si>
  <si>
    <t>10,50+3</t>
  </si>
  <si>
    <t>metro linear tudo de cobre flexível 5/8" (retirado do projeto elétrico)</t>
  </si>
  <si>
    <t>número de unidades evaporadora e condensadora de ar condicionado 12.000 BTU's (retirado do projeto elétrico)</t>
  </si>
  <si>
    <t>número de unidades ar condicionados (retirado do projeto elétrico)</t>
  </si>
  <si>
    <t>número de unidades ar condicionados (retirado do projeto arquitetônico)</t>
  </si>
  <si>
    <t>19,80+23,60</t>
  </si>
  <si>
    <t>número de unidades sistema solar fotovoltaico (retirado do projeto elétrico)</t>
  </si>
  <si>
    <t>área da obra (retirado do projeto arquitetônico)</t>
  </si>
  <si>
    <t>metro linear de gradil altura de 1,90 m (retirado do projeto arquitetônico)</t>
  </si>
  <si>
    <t>somatório das área de espelho dos banheiros (retirado do projeto arquitetônico)</t>
  </si>
  <si>
    <t>quantitativo de letras de aço inox para o nome do local (retirado do projeto arquitetônico)</t>
  </si>
  <si>
    <t>metro linear de guarda corpo altura de 1,90 m (retirado do projeto arquitetônico)</t>
  </si>
  <si>
    <t>69,06+237,69+67,44</t>
  </si>
  <si>
    <t>MANTA APLICADA NO SUBSOLO e LAJE DO ANEXO</t>
  </si>
  <si>
    <t>77,31+830,07</t>
  </si>
  <si>
    <t>DESCONTO</t>
  </si>
  <si>
    <t>11.3.1</t>
  </si>
  <si>
    <t>(3383,05)-422,8+139,70</t>
  </si>
  <si>
    <t>11.3.3</t>
  </si>
  <si>
    <t>896,27+1129,98+52,35</t>
  </si>
  <si>
    <t>864,79+90,60+191,02</t>
  </si>
  <si>
    <t>CHAPISCO NOS LOCAIS DE REBOCO</t>
  </si>
  <si>
    <t>ADITIVAR CONTRAPISO NA NOVA ÁREA DE PISO DO TÉRREO E AUDITÓRIO + ÁREA DA CIRCULAÇÃO 1 LADRILHO HIDRAULICO</t>
  </si>
  <si>
    <t>3º PAVIMENTO SALA DE AULA 01 + LADRILHO HIDRÁULICO</t>
  </si>
  <si>
    <t>330,42+166,06</t>
  </si>
  <si>
    <t>(2700,17)+1198,92</t>
  </si>
  <si>
    <t>adicionado pela arquitetura</t>
  </si>
  <si>
    <t>239,64+85,51+105,32</t>
  </si>
  <si>
    <t>378,6+22</t>
  </si>
  <si>
    <t>ÁREA ONDE POSSUIA GRANITO NO TÉRREO</t>
  </si>
  <si>
    <t xml:space="preserve"> 130308 </t>
  </si>
  <si>
    <t>(28,16)+(148,3 )</t>
  </si>
  <si>
    <t>329,99+42,48</t>
  </si>
  <si>
    <t>2074,79+571,64+144,5</t>
  </si>
  <si>
    <t>RODAPÉ DA ÁREA DO TERREO QUE ERA GRANILITE E SERÁ PISO</t>
  </si>
  <si>
    <t>7,23+152,96</t>
  </si>
  <si>
    <t>(512)+(76,85)</t>
  </si>
  <si>
    <t>REFERENTE AS MUDANÇAS DO AR CONDICIONADO DE LUGAR DO 2º E T</t>
  </si>
  <si>
    <t>33+46</t>
  </si>
  <si>
    <t>(220)+(21)</t>
  </si>
  <si>
    <t>1+9</t>
  </si>
  <si>
    <t>EXTRAIDO DO MEMORIAL DE CÁLCULO</t>
  </si>
  <si>
    <t>227+31</t>
  </si>
  <si>
    <t xml:space="preserve">6+582 </t>
  </si>
  <si>
    <t>121+1200</t>
  </si>
  <si>
    <t>480+20</t>
  </si>
  <si>
    <t>5+5</t>
  </si>
  <si>
    <t>1+1</t>
  </si>
  <si>
    <t>15.49</t>
  </si>
  <si>
    <t>2,25*10+7,5+1,65+1,60+,4+,4+,38+1,1+1,35+,45+3,3*4+21,3+22+22+21,3+9,80+9,80+3,4+3,92+4,92+6,52+8,3+3,75+2,57+6,8+3,3*4</t>
  </si>
  <si>
    <t>CORREDOR AUDITÓRIO, AUDITÓRIO APOIO 03 E 04</t>
  </si>
  <si>
    <t>15.64</t>
  </si>
  <si>
    <t>(2,25*10+7,5+1,65+1,60+,4+,4+,38+1,1+1,35+,45+3,3*4+21,3+22+22+21,3+9,80+9,80+3,4+3,92+4,92+6,52+8,3+3,75+2,57+6,8+3,3*4)*3</t>
  </si>
  <si>
    <t>15.77</t>
  </si>
  <si>
    <t xml:space="preserve"> COMP-EL-01</t>
  </si>
  <si>
    <t>27+1</t>
  </si>
  <si>
    <t>AUDITÓRIO E APOIO 4</t>
  </si>
  <si>
    <t>26+6</t>
  </si>
  <si>
    <t>15.86</t>
  </si>
  <si>
    <t>CORREDOR AUDITÓRIO, AUDITÓRIO APOIO 03 E 04 e aumento da largura do corredor do anexo</t>
  </si>
  <si>
    <t>224+25</t>
  </si>
  <si>
    <t>1 - 1 = 0</t>
  </si>
  <si>
    <t>15+(10)</t>
  </si>
  <si>
    <t>19+1</t>
  </si>
  <si>
    <t>24+2</t>
  </si>
  <si>
    <t>50,7+(1,2*5*4)+(5*0,6*3)+(8*0,7*3)+10,77</t>
  </si>
  <si>
    <t>28+3</t>
  </si>
  <si>
    <t>8+1</t>
  </si>
  <si>
    <t>4+1</t>
  </si>
  <si>
    <t>16517,39-4.160,61 +234,54</t>
  </si>
  <si>
    <t>16517,39+277,37 - 418,93 +51,3 (ACRÉSCIMO DO AUDITÓRIO E DESCRÉSCIMO DOS FORROS DRYWALL SUBSTITUIDOS) + 234,54</t>
  </si>
  <si>
    <t xml:space="preserve">   </t>
  </si>
  <si>
    <t>(224,57)+325,86</t>
  </si>
  <si>
    <t>19.4.1</t>
  </si>
  <si>
    <t>(113,36)+(299,36*2)+(197,15*2)+(1,2*0,6*2)+(1,7*0,6*2)+(1,8*1,4*2)*2+(23,7*2)+(4,83*2)+174,83</t>
  </si>
  <si>
    <t>área de janelas, grades existentes e grades novas</t>
  </si>
  <si>
    <t>166,85+378,6+218,7+350,7+79,2+60</t>
  </si>
  <si>
    <t>874,81+613,13</t>
  </si>
  <si>
    <t>4728,22+1644,34</t>
  </si>
  <si>
    <t>931,90+78</t>
  </si>
  <si>
    <t>826,01+3553,14</t>
  </si>
  <si>
    <t>167,94+24,18</t>
  </si>
  <si>
    <t>157,28+21,15</t>
  </si>
  <si>
    <t>67,22+282,28</t>
  </si>
  <si>
    <t xml:space="preserve"> 103271 </t>
  </si>
  <si>
    <t>2+1</t>
  </si>
  <si>
    <t>2+2</t>
  </si>
  <si>
    <t>INEXISTENTE NO MEMORIAL</t>
  </si>
  <si>
    <t>ESCORAS PARA EXECUÇÃO DE REFORÇO METÁLICO</t>
  </si>
  <si>
    <t>ESCORAS PARA EXECUÇÃO DE REFORÇO METÁLICO E ANEXO</t>
  </si>
  <si>
    <t>DEMOLIÇÃO DE CONTRAPISOs ELEVADOS,REMOÇÃO DA ESTRUTURA DO ANTIGO TELHADO DO ANEXO E REMOÇÃO DA LAJE DO ANEXO</t>
  </si>
  <si>
    <t>665,94+348,12</t>
  </si>
  <si>
    <t>10+20</t>
  </si>
  <si>
    <t xml:space="preserve">Retirada manual de pavimento em paralelepípedos, incluindo empilhamento </t>
  </si>
  <si>
    <t>8+19,83</t>
  </si>
  <si>
    <t>área dos condensadores e grades novas</t>
  </si>
  <si>
    <t>Pilar e Viga da marquise</t>
  </si>
  <si>
    <t>Platibanda reforço marquise</t>
  </si>
  <si>
    <t>10+12</t>
  </si>
  <si>
    <t>42,17+3,57</t>
  </si>
  <si>
    <t>156,24+16,46</t>
  </si>
  <si>
    <t>FUNDAÇÃO PROFUNDA</t>
  </si>
  <si>
    <t>Reaterro apiloado de cavas de fundação, em camadas de 20 cm</t>
  </si>
  <si>
    <t>COMPOSIÇÃO DE PREÇO UNITÁRIO</t>
  </si>
  <si>
    <t>TABELA</t>
  </si>
  <si>
    <t>PRÓPRIA</t>
  </si>
  <si>
    <t>UNIDADE</t>
  </si>
  <si>
    <t>Insumo</t>
  </si>
  <si>
    <t>Unid.</t>
  </si>
  <si>
    <t>Órgão</t>
  </si>
  <si>
    <t>Pr. Prod.</t>
  </si>
  <si>
    <t>Pr. Impr.</t>
  </si>
  <si>
    <t>Pr. Unit.</t>
  </si>
  <si>
    <t>Sub-Total</t>
  </si>
  <si>
    <t>Coefic.</t>
  </si>
  <si>
    <t>C. Prod.</t>
  </si>
  <si>
    <t>Mão-de-Obra</t>
  </si>
  <si>
    <t>AJUDANTE (AJUDANTE PRATICO - SINDUSCON) (LABOR)</t>
  </si>
  <si>
    <t>H</t>
  </si>
  <si>
    <t>'010101</t>
  </si>
  <si>
    <t>CARPINTEIRO (OFICIAL - SINDUSCON) (LABOR)</t>
  </si>
  <si>
    <t>'010111</t>
  </si>
  <si>
    <t>ARMADOR (OFICIAL - SINDUSCON) (LABOR)</t>
  </si>
  <si>
    <t>'010121</t>
  </si>
  <si>
    <t>PEDREIRO (OFICIAL - SINDUSCON) (LABOR)</t>
  </si>
  <si>
    <t>'010139</t>
  </si>
  <si>
    <t>PINTOR (OFICIAL - SINDUSCON) (LABOR)</t>
  </si>
  <si>
    <t>'010140</t>
  </si>
  <si>
    <t>SERVENTE (AUXILIAR DE OBRAS - SINDUSCON) (LABOR)</t>
  </si>
  <si>
    <t>'010146</t>
  </si>
  <si>
    <t>Materiais</t>
  </si>
  <si>
    <t>AREIA LAVADA MEDIA (LABOR)</t>
  </si>
  <si>
    <t>M3</t>
  </si>
  <si>
    <t>020503</t>
  </si>
  <si>
    <t>CAL HIDRATADO P/ ARGAMASSA CH III (LABOR)</t>
  </si>
  <si>
    <t>'020505</t>
  </si>
  <si>
    <t>CIMENTO PORTLAND CP III - 40 (LABOR)</t>
  </si>
  <si>
    <t>'020508</t>
  </si>
  <si>
    <t>BRITA 1 (LABOR)</t>
  </si>
  <si>
    <t>'020517</t>
  </si>
  <si>
    <t>BRITA 2 (LABOR)</t>
  </si>
  <si>
    <t>'020518</t>
  </si>
  <si>
    <t>SARRAFO DE MADEIRA PINUS 10 X 2.5CM (LABOR)</t>
  </si>
  <si>
    <t>020985</t>
  </si>
  <si>
    <t>TABUA DE MADEIRA PINUS 30 X 2.5 CM (LABOR)</t>
  </si>
  <si>
    <t>020988</t>
  </si>
  <si>
    <t>ACO CA-50 DE 8.0MM (LABOR)</t>
  </si>
  <si>
    <t>021517</t>
  </si>
  <si>
    <t>BLOCO CERAMICO / TIJOLO VAZADO PARA ALVENARIA DE VEDACAO, FUROS NA VERTICAL DE 19 X 19 X 39 CM (L X A X C)</t>
  </si>
  <si>
    <t>PREGO 18X27 (LABOR)</t>
  </si>
  <si>
    <t>026569</t>
  </si>
  <si>
    <t>ARAME RECOZIDO N.18 BWG (LABOR)</t>
  </si>
  <si>
    <t>027010</t>
  </si>
  <si>
    <t>DESMOLDANTE PARA FORMAS (LABOR)</t>
  </si>
  <si>
    <t>L</t>
  </si>
  <si>
    <t>028008</t>
  </si>
  <si>
    <t>TINTA LATEX ACRILICA FOSCA - LINHA PREMIUM (LABOR)</t>
  </si>
  <si>
    <t>037514</t>
  </si>
  <si>
    <t>SELADOR ACRILICO (LABOR)</t>
  </si>
  <si>
    <t>037519</t>
  </si>
  <si>
    <t>LIXA PARA MADEIRA/MASSA Nº 150 (LABOR)</t>
  </si>
  <si>
    <t>038013</t>
  </si>
  <si>
    <t>CONSUMO DE ENERGIA ELETRICA COMERCIAL, BAIXA TENSAO CONSUMO ATE 100KWH, INCLUIDO ICMS, PIS/PASEP E CONFINS (LABOR)</t>
  </si>
  <si>
    <t>KWH</t>
  </si>
  <si>
    <t>049967</t>
  </si>
  <si>
    <t>Equipamentos</t>
  </si>
  <si>
    <t>BETONEIRA CAPACIDADE NOMINAL 400L, CAPACIDADE DE MISTURA 280L, MOTOR ELETRICO TRIFASICO 220/380V POTENCIA 2CV, SEM CARREGADOR (LABOR)</t>
  </si>
  <si>
    <t>081115</t>
  </si>
  <si>
    <t>RESUMO :</t>
  </si>
  <si>
    <t>Discriminação</t>
  </si>
  <si>
    <t>Taxa (%)</t>
  </si>
  <si>
    <t>Valores</t>
  </si>
  <si>
    <t>Mão-de-Obra (A)</t>
  </si>
  <si>
    <t>Materias (B)</t>
  </si>
  <si>
    <t>Equipamentos (C)</t>
  </si>
  <si>
    <t>Produção da Equipe (D)</t>
  </si>
  <si>
    <t>Custo Horário Total [(A)+(C)]</t>
  </si>
  <si>
    <t>Custo Unitário da Execução [(A)+(C)/(D)]=(E)</t>
  </si>
  <si>
    <t>Custo Direto Total [(B)+(E)]</t>
  </si>
  <si>
    <t>Bonificação e Despesas Indiretas- BDI</t>
  </si>
  <si>
    <t>Custo Unitário (adotado)</t>
  </si>
  <si>
    <t>SERRALHEIRO (OFICIAL - SINDUSCON)</t>
  </si>
  <si>
    <t>010144</t>
  </si>
  <si>
    <t>MONTADOR (SINTRACONST)</t>
  </si>
  <si>
    <t>010130</t>
  </si>
  <si>
    <t>AJUDANTE (AJUDANTE PRATICO - SINDUSCON)</t>
  </si>
  <si>
    <t>010101</t>
  </si>
  <si>
    <t>ACM  3MMX1220X5000MM</t>
  </si>
  <si>
    <t>MERCADO</t>
  </si>
  <si>
    <t>CANTONEIRA EM ALUMINIO, ABAS IGUAIS, LARGURA DE 50,80 MM (2"), ESPESSURA DE 6,35 MM (1/4") E PESO LINEAR DE APROXIMADAMENTE 1,630 KG/M</t>
  </si>
  <si>
    <t>PARAFUSO DE LATAO COM ROSCA SOBERBA, CABECA CHATA E FENDA SIMPLES, DIAMETRO 4,8 MM, COMPRIMENTO 65 MM</t>
  </si>
  <si>
    <t>4358</t>
  </si>
  <si>
    <t>LOCAÇÃO DE PLATAFORMA AÉREA</t>
  </si>
  <si>
    <t>mês</t>
  </si>
  <si>
    <t>010139</t>
  </si>
  <si>
    <t>010146</t>
  </si>
  <si>
    <t>CHAPA EM ACO GALVANIZADO PARA STEEL DECK, COM NERVURAS TRAPEZOIDAIS, LARGURA UTIL DE 915 MM E ESPESSURA DE 0,80 MM</t>
  </si>
  <si>
    <t>43126</t>
  </si>
  <si>
    <t>TELA SOLDADA EM AÇO TIPO TELCON Q-138 P/ ARMADURA</t>
  </si>
  <si>
    <t>021543</t>
  </si>
  <si>
    <t>PARAFUSO DE ACO TIPO CHUMBADOR PARABOLT, DIAMETRO 1/2", COMPRIMENTO 75 MM</t>
  </si>
  <si>
    <t>11963</t>
  </si>
  <si>
    <t>Fornecimento, preparo e aplicação de concreto Fck=25 MPa (brita 1 e 2) - (5% de perdas já incluído no custo)</t>
  </si>
  <si>
    <t>040324</t>
  </si>
  <si>
    <t>Pintura sobre cerâmica aparente, aplicação manual, com duas demãos de verniz acrílico a base de água, acabamento fosco, referência Suvinil, Coral, Metalatex ou equivalente</t>
  </si>
  <si>
    <t>010140</t>
  </si>
  <si>
    <t>VERNIZ ACRILICO PARA CONCRETO (LABOR)</t>
  </si>
  <si>
    <t>038025</t>
  </si>
  <si>
    <t>SERVENTE (AUXILIAR DE OBRAS - SINDUSCON)</t>
  </si>
  <si>
    <t>ENCANADOR (OFICIAL - SINDUSCON)</t>
  </si>
  <si>
    <t>010118</t>
  </si>
  <si>
    <t>TUBO DE PVC, PBL, TIPO LEVE, DN = 300 MM, PARA VENTILACAO</t>
  </si>
  <si>
    <t>9878</t>
  </si>
  <si>
    <t>PASTA LUBRIFICANTE PARA TUBOS E CONEXOES COM JUNTA ELASTICA, EMBALAGEM DE *400* GR (USO EM PVC, ACO, POLIETILENO E OUTROS)</t>
  </si>
  <si>
    <t>20078</t>
  </si>
  <si>
    <t xml:space="preserve"> 010101 </t>
  </si>
  <si>
    <t>ELETRICISTA (OFICIAL - SINDUSCON) (LABOR)</t>
  </si>
  <si>
    <t xml:space="preserve">010115 </t>
  </si>
  <si>
    <t>ELETROTECNICO MONTADOR - SINTRACONST (LABOR)</t>
  </si>
  <si>
    <t xml:space="preserve">010117 </t>
  </si>
  <si>
    <t xml:space="preserve">GRAVADOR DE VÍDEO IP NVR 32 CANAIS </t>
  </si>
  <si>
    <t xml:space="preserve"> SG-01 </t>
  </si>
  <si>
    <t>CAMERA BULLET INFRAVERMELHO MULTI HD 4 EM 1 INTELBRAS VHD 11</t>
  </si>
  <si>
    <t>CAMERA EXTERNA BULLET INFRAVERMELHO MULTI HD 4X1 INTELBRAS</t>
  </si>
  <si>
    <t>RACK DE PISO FECHADO PADRAO 19" - 44US X 670MM - CONFECCIONADO EM AÇO SAE 1020 1,5MM, PORTA FRONTAL EMBUTIDA, VISOR FUMÊ 2,0MM,FECHADURA ESCAMOTEÁVEL,ALETAS DE VENTILAÇÃO, PINTURA EPÓXI PÓ TEXTURIZADA (LABOR)</t>
  </si>
  <si>
    <t xml:space="preserve"> 052164 </t>
  </si>
  <si>
    <t>CARPINTEIRO DE ESQUADRIA COM ENCARGOS COMPLEMENTARES</t>
  </si>
  <si>
    <t>SERVENTE COM ENCARGOS COMPLEMENTARES</t>
  </si>
  <si>
    <t>BATENTE PARA PORTA DE MADEIRA, FIXAÇÃO COM ARGAMASSA, PADRÃO MÉDIO - FORNECIMENTO E INSTALAÇÃO. AF_12/2019</t>
  </si>
  <si>
    <t>FECHADURA DE EMBUTIR COM CILINDRO, EXTERNA, COMPLETA, ACABAMENTO PADRÃO MÉDIO, INCLUSO EXECUÇÃO DE FURO - FORNECIMENTO E INSTALAÇÃO. AF_12/2019</t>
  </si>
  <si>
    <t>ALIZAR DE 5X1,5CM PARA PORTA FIXADO COM PREGOS, PADRÃO MÉDIO - FORNECIMENTO E INSTALAÇÃO. AF_12/2019</t>
  </si>
  <si>
    <t>PARAFUSO ROSCA SOBERBA ZINCADO CABECA CHATA FENDA SIMPLES 3,5 X 25 MM (1 ")</t>
  </si>
  <si>
    <t>DOBRADICA EM ACO/FERRO, 3 1/2" X  3", E= 1,9  A 2 MM, COM ANEL,  CROMADO OU ZINCADO, TAMPA BOLA, COM PARAFUSOS</t>
  </si>
  <si>
    <t>PORTA DE ABRIR / GIRO, DE MADEIRA FOLHA MEDIA (NBR 15930) DE 800 X 2100 MM, DE 35 MM A 40 MM DE ESPESSURA, NUCLEO SEMI-SOLIDO (SARRAFEADO), CAPA LISA EM HDF, ACABAMENTO EM LAMINADO NATURAL PARA VERNIZ</t>
  </si>
  <si>
    <t>Fator AC</t>
  </si>
  <si>
    <t>-</t>
  </si>
  <si>
    <t>BARRA CHATA DE FERRO ASTM A-36 3/16" X 1" (LABOR)</t>
  </si>
  <si>
    <t>0,512 IF</t>
  </si>
  <si>
    <t>CANTONEIRA ABAS IGUAIS DE FERRO ASTM A-36 - 3/16" X 1.1/4" X 1.1/4" (LABOR)</t>
  </si>
  <si>
    <t>CHAPA DE ACO GALVANIZADA Nº 14 (ESP. 1,95MM) (LABOR)</t>
  </si>
  <si>
    <t>FECHADURA PARA PORTAO (LABOR)</t>
  </si>
  <si>
    <t>GALVANIZAÇÃO ELETROLITICA (LABOR)</t>
  </si>
  <si>
    <t>TUBO ACO GALV 60,30 X 3,75MM (2") DIN 2440 - MEDIO (LABOR)</t>
  </si>
  <si>
    <t>ROLDANA CROMADA C/ PINO DIAM. Ø 3" CANAL TIPO "V" 2" (LABOR)</t>
  </si>
  <si>
    <t>CHAPA ACO INOX 304 Nº 13 (2,50 MM) ACABAMENTO ESCOVADO (LABOR)</t>
  </si>
  <si>
    <t>079654</t>
  </si>
  <si>
    <t>020508</t>
  </si>
  <si>
    <t>PARAF. INOX SEXT. M6X45MM, BUCHA N.8, ARRUELA 1/4" (LABOR)</t>
  </si>
  <si>
    <t>029093</t>
  </si>
  <si>
    <t>ARGAM COLANTE FLEXIVEL AC III P/ ASSENT. PORCELANATO E PEDRAS (GRANITO E MÁRMORE)</t>
  </si>
  <si>
    <t>020732</t>
  </si>
  <si>
    <t>MARMORE BRANCO P/BANCADA ESP. 3 CM</t>
  </si>
  <si>
    <t>032502</t>
  </si>
  <si>
    <t>REVESTIMENTO EM MARMORE DE ESCADA EXTERNA, ESPESSURA 2 CM, INCLUSIVE ASSENTAMENTO COM ARGAMASSA ACIII, PISO E ESPELHO</t>
  </si>
  <si>
    <t>PISO EM GRANITO APLICADO EM CALÇADAS OU PISOS EXTERNOS. AF_05/2020</t>
  </si>
  <si>
    <t>LIQUIDO SELADOR PARA PINTURA LATEX PVA (LABOR)</t>
  </si>
  <si>
    <t>038009</t>
  </si>
  <si>
    <t>MASSA A BASE DE PVA (LABOR)</t>
  </si>
  <si>
    <t>038017</t>
  </si>
  <si>
    <t>AUXILIAR DE ELETRICISTA COM ENCARGOS COMPLEMENTARES</t>
  </si>
  <si>
    <t xml:space="preserve"> 88247 </t>
  </si>
  <si>
    <t>ELETRICISTA COM ENCARGOS COMPLEMENTARES</t>
  </si>
  <si>
    <t xml:space="preserve"> 88264 </t>
  </si>
  <si>
    <t>PEDREIRO COM ENCARGOS COMPLEMENTARES</t>
  </si>
  <si>
    <t xml:space="preserve"> 88309 </t>
  </si>
  <si>
    <t xml:space="preserve"> 88316 </t>
  </si>
  <si>
    <t>ENCARREGADO GERAL COM ENCARGOS COMPLEMENTARES</t>
  </si>
  <si>
    <t xml:space="preserve"> 90776 </t>
  </si>
  <si>
    <t>POSTE CONICO CONTINUO EM ACO GALVANIZADO RETO FLANGEADO 3m</t>
  </si>
  <si>
    <t xml:space="preserve">	LUMINARIA PUBLICA DE LED 60W 6.600 LUMENS - ZL-4908 ZAGONEL</t>
  </si>
  <si>
    <t>BRACO TUBO ACO ZINCADO 1,00m PARA POSTE</t>
  </si>
  <si>
    <t>CIMENTO PORTLAND CP III 32RS NBR 11578 (quilo)</t>
  </si>
  <si>
    <t xml:space="preserve"> 000050 </t>
  </si>
  <si>
    <t>AREIA GROSSA LAVADA</t>
  </si>
  <si>
    <t xml:space="preserve"> 000100 </t>
  </si>
  <si>
    <t>PEDRA BRITADA #1 E 2</t>
  </si>
  <si>
    <t xml:space="preserve"> 000200 </t>
  </si>
  <si>
    <t>ELETRODUTO PVC RIGIDO ANTICHAMA ROSCAVEL 1" (METRO)</t>
  </si>
  <si>
    <t xml:space="preserve"> 003347 </t>
  </si>
  <si>
    <t>CURVA 90 ELETRODUTO ROSCAVEL PVC 1"</t>
  </si>
  <si>
    <t xml:space="preserve"> 003355 </t>
  </si>
  <si>
    <t>CABO FLEXIVEL CLASSE 4 OU 5 450/750V 10mm2</t>
  </si>
  <si>
    <t>LUVA PVC ELETRODUTO ROSCAVEL 1"</t>
  </si>
  <si>
    <t xml:space="preserve"> 006803 </t>
  </si>
  <si>
    <t>PLACA CIMENTICIA LISA E = 10 MM, DE 1,20 X *2,50* M (SEM AMIANTO)</t>
  </si>
  <si>
    <t>PARAFUSO ZINCADO, AUTOBROCANTE, FLANGEADO, 4,2 MM X 19 MM</t>
  </si>
  <si>
    <t>CENTO</t>
  </si>
  <si>
    <t>TUBO RETANGULAR METALON 50 x 30 1,25 GALVANIZADO CHAPA 18</t>
  </si>
  <si>
    <t>MOTOR AUTOMATIZADOR DE PORTÃO</t>
  </si>
  <si>
    <t>Elaboração de projeto TOPOGRAFICO</t>
  </si>
  <si>
    <t>TOPOGRAFO (HORISTA)</t>
  </si>
  <si>
    <t>AUXILIAR DE TOPOGRAFO (HORISTA)</t>
  </si>
  <si>
    <t>TELHADISTA COM ENCARGOS COMPLEMENTARES</t>
  </si>
  <si>
    <t xml:space="preserve"> 88323 </t>
  </si>
  <si>
    <t>GUINCHO ELÉTRICO DE COLUNA, CAPACIDADE 400 KG, COM MOTO FREIO, MOTOR TRIFÁSICO DE 1,25 CV - CHP DIURNO. AF_03/2016</t>
  </si>
  <si>
    <t>CHP</t>
  </si>
  <si>
    <t xml:space="preserve"> 93281 </t>
  </si>
  <si>
    <t>GUINCHO ELÉTRICO DE COLUNA, CAPACIDADE 400 KG, COM MOTO FREIO, MOTOR TRIFÁSICO DE 1,25 CV - CHI DIURNO. AF_03/2016</t>
  </si>
  <si>
    <t>CHI</t>
  </si>
  <si>
    <t xml:space="preserve"> 93282 </t>
  </si>
  <si>
    <t>HASTE RETA PARA GANCHO DE FERRO GALVANIZADO, COM ROSCA 1/4 " X 30 CM PARA FIXACAO DE TELHA METALICA, INCLUI PORCA E ARRUELAS DE VEDACAO</t>
  </si>
  <si>
    <t>TELHA GALVALUME COM ISOLAMENTO TERMOACUSTICO EM ESPUMA RIGIDA DE POLIURETANO (PU) INJETADO, ESPESSURA DE 30 MM, DENSIDADE DE 35 KG/M3, REVESTIMENTO DE FUNDO LISO COM ACABAMENTO AMADEIRADO</t>
  </si>
  <si>
    <t>AE 099 V009</t>
  </si>
  <si>
    <t>Tipologia</t>
  </si>
  <si>
    <t xml:space="preserve">Limites de BDI </t>
  </si>
  <si>
    <t xml:space="preserve">Construção de edificação Multiuso </t>
  </si>
  <si>
    <t>Máx.</t>
  </si>
  <si>
    <t>Edificações</t>
  </si>
  <si>
    <t>Fornecimento de Materiais e Equipamentos</t>
  </si>
  <si>
    <t>Portuárias, Marítimas e Fluviais</t>
  </si>
  <si>
    <t>Redes de Água, Esgoto ou Correlatas</t>
  </si>
  <si>
    <t>Rodovias e Ferrovias</t>
  </si>
  <si>
    <t>Tipologia da Obra</t>
  </si>
  <si>
    <t>BDI</t>
  </si>
  <si>
    <t>Mín</t>
  </si>
  <si>
    <t>Verificação</t>
  </si>
  <si>
    <t>Cálculo do BDI sem INSS:</t>
  </si>
  <si>
    <t>TAXA DE BDI APLICÁVEL</t>
  </si>
  <si>
    <t>FÓRMULA:</t>
  </si>
  <si>
    <t>COMPONENTES</t>
  </si>
  <si>
    <t>1ª Faixa
(até R$330.000,00)</t>
  </si>
  <si>
    <t>2ª Faixa
(R$330.000,00 a
R$3.300.000,00)</t>
  </si>
  <si>
    <t>3ª Faixa
(R$3.300.000,00 a R$20.000.000,00)</t>
  </si>
  <si>
    <t>4ª Faixa
(R$20.000.000,00
em diante)</t>
  </si>
  <si>
    <t>A - ADMINISTRAÇÃO CENTRAL</t>
  </si>
  <si>
    <t>B - ADM LOCAL</t>
  </si>
  <si>
    <t>C - IMPOSTOS/TRIBUTOS</t>
  </si>
  <si>
    <t>C1 - ISSDN</t>
  </si>
  <si>
    <t>C2 - PIS</t>
  </si>
  <si>
    <t>C3 - COFINS</t>
  </si>
  <si>
    <t>D - CUSTOS FINANCEIROS</t>
  </si>
  <si>
    <t>E - RISCO, GARANTIAS E SEGUROS</t>
  </si>
  <si>
    <t>F - LUCRO</t>
  </si>
  <si>
    <t>111,08+39,43</t>
  </si>
  <si>
    <t>5501,28+3553,14</t>
  </si>
  <si>
    <t>98,96+131,51</t>
  </si>
  <si>
    <t>449,29+89,88</t>
  </si>
  <si>
    <t>1648,99+246,651</t>
  </si>
  <si>
    <t>79,2+97,35</t>
  </si>
  <si>
    <t xml:space="preserve">Reservatório de polietileno de 1000l, inclusive peça de madeira 6x16cm para apoio, exclusive flanges e torneira de bóia </t>
  </si>
  <si>
    <t>301,32+((1,611+0,5+1,611+0,5)*2)+((2,05+0,5+1,3+0,5)*2)+((2,05+0,5+1,3+0,5)*2)+((1,611+0,5+1,611+0,5)*2)+(1*1*6)+(1*1*2)+13,50</t>
  </si>
  <si>
    <t>369,3+((1,611*0,75*4)*4)+((2,3*0,75*2+1,3*0,75*2)*4)+((0,80*0,25*4)*8+36</t>
  </si>
  <si>
    <t>133,9+(((1,611*1,611)*2)+((2,05*1,3)*2)+((2,05*1,3)*2+((1,611*1,611)*2)))*0,75+((0,80*0,80*0,25)*8+13,50</t>
  </si>
  <si>
    <t>3747+352,50</t>
  </si>
  <si>
    <t>1+17,07</t>
  </si>
  <si>
    <t>291,00+5,61</t>
  </si>
  <si>
    <t>558+140+185,3</t>
  </si>
  <si>
    <t>499+11,20</t>
  </si>
  <si>
    <t>165+167+730</t>
  </si>
  <si>
    <t>452+674,6</t>
  </si>
  <si>
    <t>44+176,20</t>
  </si>
  <si>
    <t>764+10+1+1+58+12+20</t>
  </si>
  <si>
    <t>24+8</t>
  </si>
  <si>
    <t>12,97+283,15</t>
  </si>
  <si>
    <t>250,01+355,31</t>
  </si>
  <si>
    <t>11958,17+3529,19</t>
  </si>
  <si>
    <t>186,15+311,36</t>
  </si>
  <si>
    <t>23.45</t>
  </si>
  <si>
    <t>QD-BS3 - Quadro de distribuição de energia  completo, conforme detalhes na prancha 09</t>
  </si>
  <si>
    <t>QD-PIS - Quadro de distribuição de energia  completo, conforme detalhes na prancha 09</t>
  </si>
  <si>
    <t>POSTE ACO CONICO 3,0m 1 PETALA 100W</t>
  </si>
  <si>
    <t>(52,26+1038,67+205,92)+513,45</t>
  </si>
  <si>
    <t>947,97+152</t>
  </si>
  <si>
    <t>4453,52+152</t>
  </si>
  <si>
    <t>300+2695,33+1365,22</t>
  </si>
  <si>
    <t>8+91,59</t>
  </si>
  <si>
    <t>101093+2113,03+829,08+804,36+922+5778+1976,26</t>
  </si>
  <si>
    <t>163,3+ 4050,48+2374,5</t>
  </si>
  <si>
    <t>800+597,61+763,32</t>
  </si>
  <si>
    <t>13252,88+658,81</t>
  </si>
  <si>
    <t>(1479,94)+(11772,96)+658,81</t>
  </si>
  <si>
    <t>(3320,23)+(1451,03+373,29)+(55,84)+(95,58)+730,32</t>
  </si>
  <si>
    <t>635,63+512,29+128,58+763,32</t>
  </si>
  <si>
    <t>673+236,72</t>
  </si>
  <si>
    <t>304+15,46</t>
  </si>
  <si>
    <t>537+76,85+23</t>
  </si>
  <si>
    <t>175+100+260,2</t>
  </si>
  <si>
    <t>50+250</t>
  </si>
  <si>
    <t>3950+4228,5</t>
  </si>
  <si>
    <t>100+149,2</t>
  </si>
  <si>
    <t>1384+2519</t>
  </si>
  <si>
    <t>485+140,4</t>
  </si>
  <si>
    <t>500+705,9</t>
  </si>
  <si>
    <t>APROVADO</t>
  </si>
  <si>
    <t>THIAGO</t>
  </si>
  <si>
    <t>ANALISAR</t>
  </si>
  <si>
    <t>OK</t>
  </si>
  <si>
    <t>---</t>
  </si>
  <si>
    <t>Quantidativo de acordo com o projeto entregue após a revisão.</t>
  </si>
  <si>
    <t>Analisar com Thiago, ficou confuso a consideração!</t>
  </si>
  <si>
    <t>Melhor o Croqui e Memorial de cálculo!</t>
  </si>
  <si>
    <t>Não ficou clara a explicação do quantitativo aprovado, visto que foi colocado em m³, mas o item trata-se de m².</t>
  </si>
  <si>
    <t>Na avaliação da equipe SECTI, o quantitativo foi glosado, afirmando já ter sido pago, mas Thiago e empresa confirmou que o quantitativo não foi pago!</t>
  </si>
  <si>
    <t>No projeto, está demonstrando o quantitativo apresentado pela empresa. Não considerou a altura do piso do tanque! Deve ser alterado!</t>
  </si>
  <si>
    <t>Foi devidamente justificado nas notas e nos projetos, de acordo com o local!</t>
  </si>
  <si>
    <t>Inlcuiu o item de acordo com a orientação comentada no relatório!</t>
  </si>
  <si>
    <t>foi corrigido no projeto! Esses itens foi analisado pela equipe SECTI no projeto preliminar, no executivo foi atualizado!</t>
  </si>
  <si>
    <t>Apesar de constar no projeto, não foi executado pela equipe da empresa, logo, pode ser utilizado o valor da empresa, já que não compensa a execução!</t>
  </si>
  <si>
    <t>JOÃO ALTERAR</t>
  </si>
  <si>
    <t>JOÃO VERIFICAR</t>
  </si>
  <si>
    <t>Analisar abordagem, já que Thiago aprovou o total maior, e equipe considerou somente área da edificação. Na planilha original, Thiago pagou área externa como limpeza, o que parece mais correto!</t>
  </si>
  <si>
    <t>O executado está maior que a consideração da equipe, vale ressaltar que o mesmo poderá ser verificado "in loco"</t>
  </si>
  <si>
    <t>Não foi considerado o gradil da rodovia, mas está no projeto, no local e na justificativa!</t>
  </si>
  <si>
    <t xml:space="preserve">No local está executado, no memorial está especificado, porém o croqui não seguiu exatamente as informações de inclinações do telhado e etc. Por isso deve ser considerado o local </t>
  </si>
  <si>
    <t>deverá ser revisado no Projeto</t>
  </si>
  <si>
    <t>Este intem poderá ser majorado se analisado o executado "in loco", todas as considerações, da empresa, equipe e thiago estão irregular"</t>
  </si>
  <si>
    <t>Estava no memorial de calculo da planilha original, esta no projeto original mas não estava na planilha original nem nos aditivos contratados até o momentos</t>
  </si>
  <si>
    <t>Está no projeto, está executado!</t>
  </si>
  <si>
    <t>Foi incluido novos, por solicitação do rogério!</t>
  </si>
  <si>
    <t>Foi corrigido para o de 1 petala, pois estava sendo considerado o de 2 petálas, de acordo com o solicitado.</t>
  </si>
  <si>
    <t xml:space="preserve">VALOR TOTAL DA 1° MEDIÇÃO </t>
  </si>
  <si>
    <t>1º Medição</t>
  </si>
  <si>
    <t/>
  </si>
  <si>
    <t>01 SERVIÇOS PRELIMINARES</t>
  </si>
  <si>
    <t>TERRAPLENAGEM</t>
  </si>
  <si>
    <t>90781</t>
  </si>
  <si>
    <t>Topografo com encargos complementares</t>
  </si>
  <si>
    <t>h</t>
  </si>
  <si>
    <t>88253</t>
  </si>
  <si>
    <t>Auxiliar de topógrafo com encargos complementares</t>
  </si>
  <si>
    <t>Limpeza, desmatamento e destocamento de árvores com diâmetro até 15 cm, com trator de esteira</t>
  </si>
  <si>
    <t>M2</t>
  </si>
  <si>
    <t>DER-ROD</t>
  </si>
  <si>
    <t>Escalonamento de taludes com escavadeira</t>
  </si>
  <si>
    <t>Escalonamento de taludes, com trator de esteiras</t>
  </si>
  <si>
    <t>Espalhamento de material de 1ª categoria com trator de esteiras</t>
  </si>
  <si>
    <t>Compactação de aterros 100% PN</t>
  </si>
  <si>
    <t>Manta Geotêxtil não tecida com resistência longitudinal a tração 10kN/m, fornecimento e aplicação</t>
  </si>
  <si>
    <t>Tela de aço galvanizado ,em malha hexagonal de dupla torção, tipo 8,0cm x 10,0cm, com fios de diâmetro 2,7mm, tudo incluído, fornecimento e execução</t>
  </si>
  <si>
    <t>Hidrossemeadura simples em taludes</t>
  </si>
  <si>
    <t>030101</t>
  </si>
  <si>
    <t>m3</t>
  </si>
  <si>
    <t>030103</t>
  </si>
  <si>
    <t>Escavação mecânica em material de 1a. categoria</t>
  </si>
  <si>
    <t>LOCAL COM DMT DE 3,1 A 5,0 KM (Caminhão basculante)</t>
  </si>
  <si>
    <t>T</t>
  </si>
  <si>
    <t>103926</t>
  </si>
  <si>
    <t>escada hidráulica, largura de 1 a 4,1 m, tipo descida d'água de aterro em degraus (dad 04, 06, 08, 10, 12, 14, 16, 18), em concreto usinado, fck = 20 mpa, lançado com bomba, incluindo armação, materiais e fôrmas (3 utilizações). af_08/2022</t>
  </si>
  <si>
    <t>102991</t>
  </si>
  <si>
    <t>canaleta meia cana pré-moldada de concreto (d = 40 cm) - fornecimento e instalação. af_08/2021</t>
  </si>
  <si>
    <t>102993</t>
  </si>
  <si>
    <t>canaleta meia cana pré-moldada de concreto (d = 60 cm) - fornecimento e instalação. af_08/2021</t>
  </si>
  <si>
    <t>97961</t>
  </si>
  <si>
    <t>caixa para boca de lobo combinada com grelha retangular, em alvenaria com blocos de concreto, dimensões internas: 1,3x1x1,2 m. af_12/2020</t>
  </si>
  <si>
    <t>97952</t>
  </si>
  <si>
    <t>caixa para boca de lobo dupla combinada com grelha retangular, em alvenaria com tijolos cerâmicos maciços, dimensões internas: 1,3x2,2x1,2 m. af_12/2020</t>
  </si>
  <si>
    <t>101798</t>
  </si>
  <si>
    <t>tampa para caixa tipo r1, em ferro fundido, dimensões internas: 0,40 x 0,60 m - fornecimento e instalação. af_12/2020</t>
  </si>
  <si>
    <t>assentamento de tubo de concreto para redes coletoras de águas pluviais, diâmetro de 400 mm, junta rígida, instalado em local com baixo nível de interferências (não inclui fornecimento). af_03/2024</t>
  </si>
  <si>
    <t>92811</t>
  </si>
  <si>
    <t>assentamento de tubo de concreto para redes coletoras de águas pluviais, diâmetro de 600 mm, junta rígida, instalado em local com baixo nível de interferências (não inclui fornecimento). af_03/2024</t>
  </si>
  <si>
    <t>Subtotal</t>
  </si>
  <si>
    <t>010344</t>
  </si>
  <si>
    <t>Demolição de lajes, em concreto armado, de forma mecanizada com martelete demolidor elétrico, sem reaproveitamento</t>
  </si>
  <si>
    <t>010402</t>
  </si>
  <si>
    <t>010501</t>
  </si>
  <si>
    <t>m2</t>
  </si>
  <si>
    <t>INSTALAÇÃO CANTEIRO DE OBRAS</t>
  </si>
  <si>
    <t>020305</t>
  </si>
  <si>
    <t>020344</t>
  </si>
  <si>
    <t>020350</t>
  </si>
  <si>
    <t>DER - ES</t>
  </si>
  <si>
    <t>020352</t>
  </si>
  <si>
    <t>Aluguel mensal container para escritório, dim. 6.00x2.40m, c/ banheiro (vaso+lavat+chuveiro e básc), incl. porta, 2 janelas, abert p/ ar cond., 2 pt iluminação, 2 tom. elét. e 1 tom.telef. Isolam.térmico(teto e paredes), piso em comp. Naval, cert. NR18, incl. laudo descontaminação.</t>
  </si>
  <si>
    <t>020339</t>
  </si>
  <si>
    <t>INSTALAÇÃO DO CANTEIRO DE OBRAS (UTILIZAÇÃO 1 VEZ), PROJETO PADRÃO LABOR - NR.18
(OBRAS COM PRAZO DE EXECUÇÃO SUPERIOR A 12 MESES)</t>
  </si>
  <si>
    <t>INSTALAÇÃO DO CANTEIRO DE OBRAS (UTILIZAÇÃO 2 VEZES), PROJETO PADRÃO LABOR - NR.18 (OBRAS COM PRAZO DE EXECUÇÃO DE 6 A 12 MESES)</t>
  </si>
  <si>
    <t>020802</t>
  </si>
  <si>
    <t>Barracão para almoxarifado área de 10.90m2, de chapa de compensado 12mm e pontaletes 8x8cm, piso cimentado e cobertura de telha de fibrocimento de 6mm, inclusive ponto de luz, conf. projeto (2 utilizações)</t>
  </si>
  <si>
    <t>020803</t>
  </si>
  <si>
    <t>Barracão para depósito de cimento área de 10.90m2, de chapa de compensado 12mm e pontaletes 8x8cm, piso cimentado e cobertura de telhas de fibrocimento de 6mm, inclusive ponto de luz, conf. projeto (2 utilizações)</t>
  </si>
  <si>
    <t>020804</t>
  </si>
  <si>
    <t>Refeitório com paredes de chapa de compens. 12mm e pontaletes 8x8cm, piso ciment. e cobert. de telhas fibroc. 6mm, incl. ponto de luz e cx. de inspeção (cons. 1.21m2/func./turno), conf. projeto (2 utilização)</t>
  </si>
  <si>
    <t>020807</t>
  </si>
  <si>
    <t>Unidade de sanitário e vestiário de 40 a 60 func. área 33.90m2, paredes de chapa compens. 12mm e pontalete 8x8cm, piso cimentado, cobert. telha fibroc. 6mm, incl. inst. de luz e cx. de inspeção, conf. projeto (2 utilizações)</t>
  </si>
  <si>
    <t>020808</t>
  </si>
  <si>
    <t>Galpão para serraria e carpintaria área 12.00m2, em peças de madeira 8x8cm e contraventamento de 5x7cm, cobertura de telhas de fibroc. de 6mm, inclusive ponto e cabo de alimentação da máquina, conf. projeto (2 utilizações)</t>
  </si>
  <si>
    <t>020809</t>
  </si>
  <si>
    <t>Galpão para corte e armação com área de 6.00m2, de peças de madeira 8x8cm e contraventamento de 5x7cm, cobertura de telhas de fibroc. de 6mm, inclusive ponto e cabo de alimentação da máquina, conf. projeto (2 utilizações)</t>
  </si>
  <si>
    <t>020811</t>
  </si>
  <si>
    <t>Reservatório de poliestileno de 1000 L, inclusive suporte em madeira de 7x12cm e 5x7cm, elevado de 4m, conforme projeto (2 utilizações)</t>
  </si>
  <si>
    <t>020812</t>
  </si>
  <si>
    <t>Rede de água, com padrão de entrada d'água diâm. 3/4", conf. espec. CESAN, incl. tubos e conexões para alimentação, distribuição, extravasor e limpeza, cons. o padrão a 25m, conf. projeto (2 utilizações)</t>
  </si>
  <si>
    <t>020713</t>
  </si>
  <si>
    <t>Rede de luz, incl. padrão entrada de energia trifás., cabo de ligação até barracões, quadro de distrib., disj. e chave de força (quando necessário), cons. 20m entre padrão entrada e QDG, conf. projeto (1 utilização)</t>
  </si>
  <si>
    <t>020714</t>
  </si>
  <si>
    <t>Rede de esgoto, contendo fossa e filtro, inclusive tubos e conexões de ligação entre caixas, considerando distância de 25m, conforme projeto (1 utilização)</t>
  </si>
  <si>
    <t>030119</t>
  </si>
  <si>
    <t>Apiloamento do fundo de vala com maço de 30 a 60kg</t>
  </si>
  <si>
    <t>030201</t>
  </si>
  <si>
    <t>030304</t>
  </si>
  <si>
    <t>INFRAESTRUTURA (FUNDAÇÃO)</t>
  </si>
  <si>
    <t>040224</t>
  </si>
  <si>
    <t>040231</t>
  </si>
  <si>
    <t>040238</t>
  </si>
  <si>
    <t>Fôrma de chapa compensada resinada 12mm, levando-se em conta a utilização 3 vezes (incluido o material, corte, montagem, escoramento e desfôrma)</t>
  </si>
  <si>
    <t>040243</t>
  </si>
  <si>
    <t>040245</t>
  </si>
  <si>
    <t>Fornecimento, dobragem e colocação em fôrma, de armadura CA-50 A grossa diâmetro de 12.5 a 25.0 mm (1/2 a 1")</t>
  </si>
  <si>
    <t>97090</t>
  </si>
  <si>
    <t>Armação para execução de radier, piso de concreto ou laje sobre solo, com uso de tela Q-138</t>
  </si>
  <si>
    <t>SUPERESTRUTURA</t>
  </si>
  <si>
    <t>040331</t>
  </si>
  <si>
    <t>Fornecimento e aplicação de concreto USINADO Fck=30 MPa - considerando BOMBEAMENTO (5% de perdas já incluído no custo) (6% de taxa p/ concr. bombeavel)</t>
  </si>
  <si>
    <t>040337</t>
  </si>
  <si>
    <t>Fôrma em chapa de madeira compensada plastificada 12mm para estrutura em geral, 5 reaproveitamentos, reforçada com sarrafos de madeira 2.5x10cm (incl material, corte, montagem, escoras em eucalipto e desforma)</t>
  </si>
  <si>
    <t>040246</t>
  </si>
  <si>
    <t>COMP.</t>
  </si>
  <si>
    <t>ESTRUTURA EM CONCRETO ARMADO PARA RESERVATÓRIOS E CISTERNAS</t>
  </si>
  <si>
    <t>M³</t>
  </si>
  <si>
    <t>ESTRUTURA METÁLICA</t>
  </si>
  <si>
    <t>ESTRUTURA DE CONCRETO APARENTE (MURO, ESCADARIAS E RAMPAS)</t>
  </si>
  <si>
    <t>ESCADA EM CONCRETO ARMADO MOLDADO IN LOCO, FCK 25 MPA, COM 1 LANCE E LAJE PLANA, FÔRMA EM CHAPA DE MADEIRA COMPENSADA RESINADA. AF_11/2020</t>
  </si>
  <si>
    <t>MURO DE ARRIMO</t>
  </si>
  <si>
    <t>STEEL.01</t>
  </si>
  <si>
    <t>SISTEMA ESTRUTURAL EM LIGHT STEEL FRAME COM ESTRUTURA E VEDAÇÕES  RESISTENTES AO FOGO, INCLUSIVE MÃO DE OBRA</t>
  </si>
  <si>
    <t>050205</t>
  </si>
  <si>
    <t>Divisória sanitária de granito cinza andorinha esp. 3 cm, assentada com argamassa de cimento e areia no traço 1:3</t>
  </si>
  <si>
    <t>SERVIÇO DE EXECUÇÃO DE PAREDE EXTERNA STEELFRAME - COM MATERIAL INCLUSO</t>
  </si>
  <si>
    <t>VERGAS E CONTRAVERGAS</t>
  </si>
  <si>
    <t>050301</t>
  </si>
  <si>
    <t>Verga/contraverga reta de concreto armado moldada in loco 10 x 5 cm, Fck = 15 MPa, inclusive forma, armação e desforma, comprimento inferior a 2.0 metros</t>
  </si>
  <si>
    <t>050602</t>
  </si>
  <si>
    <t>Alvenaria de vedação com blocos de concreto 14x19x39cm, c/ resistência mínimo a compressão de 3 MPa, assentados c/ argamassa de cimento, cal hidratada CH1 e areia no traço 1:0,5:8, preparo com betoneira, esp. juntas 10mm e esp. da parede s/ revestimento 14cm</t>
  </si>
  <si>
    <t>060108</t>
  </si>
  <si>
    <t>Marco em madeira de lei tipo Peroba, Ipê, Angelim Pedra ou equivalente, com 15 x 3cm de batente, nas dimensões: 0,90 x 2,10 m</t>
  </si>
  <si>
    <t>060103</t>
  </si>
  <si>
    <t>Marco em madeira de lei tipo Peroba, Ipê, Angelim Pedra ou equivalente, com 15 x 3cm de batente, nas dimensões: 0,80 x 2,10 m</t>
  </si>
  <si>
    <t>060101</t>
  </si>
  <si>
    <t>Marco em madeira de lei tipo Peroba, Ipê, Angelim Pedra ou equivalente, com 15 x 3cm de batente, nas dimensões: 0,60 x 2,10 m</t>
  </si>
  <si>
    <t>011581</t>
  </si>
  <si>
    <t>TRILHO PANTOGRAFICO CONCAVO, TIPO U, EM ALUMINIO, COM DIMENSOES DE APROX *35 X 35* MM, PARA ROLDANA DE PORTA DE CORRER</t>
  </si>
  <si>
    <t>"PORTA EM MADEIRA DE LEI TIPO ANGELIM PEDRA OU EQUIV.C/ENCHIMENTO EM MADEIRA 1A.QUALIDADE ESP. 30MM P/ PINTURA, INCLUSIVE ALIZARES, DOBRADIÇAS E FECHADURA EXTERNA, EXCLUSIVE MARCO"</t>
  </si>
  <si>
    <t>061303</t>
  </si>
  <si>
    <t>Porta em madeira de lei tipo angelim pedra ou equivalente,esp. 30 a 35mm c/ enchimento em madeira 1a qualidade, tipo sarrafeada para pintura, inclusive alizares, dobradiças e fechadura tipo alavanca em latão cromado LaFonte ou equivalente, exclusive marco, nas dimensões: 0,80 x 2,10 m</t>
  </si>
  <si>
    <t>170604</t>
  </si>
  <si>
    <t>Barra de apoio reta, em aço inox polido AISI 304, comprimento 90 cm, conforme requisitos de acessibilidade da NBR 9050 - fornecimento e instalação</t>
  </si>
  <si>
    <t>061304</t>
  </si>
  <si>
    <t>Porta em madeira de lei tipo angelim pedra ou equivalente,esp. 30 a 35mm c/ enchimento em madeira 1a qualidade, tipo sarrafeada para pintura, inclusive alizares, dobradiças e fechadura tipo alavanca em latão cromado LaFonte ou equivalente, exclusive marco, nas dimensões: 0,90 x 2,10 m</t>
  </si>
  <si>
    <t>90844</t>
  </si>
  <si>
    <t>KIT DE PORTA DE MADEIRA PARA PINTURA, SEMI-OCA (LEVE OU MÉDIA), PADRÃO MÉDIO, 90X210CM, ESPESSURA DE 3,5CM, ITENS INCLUSOS: DOBRADIÇAS, MONTAGEM E INSTALAÇÃO DO BATENTE, FECHADURA COM EXECUÇÃO DO FURO - FORNECIMENTO E INSTALAÇÃO. AF_12/2019</t>
  </si>
  <si>
    <t xml:space="preserve"> "PORTA EM MADEIRA DE LEI TIPO ANGELIM PEDRA/EQUIV, ESP. 30MM C/ ACAB. LISO P/ PINTURA, INCL. FECHADURA TIPO ""LIVRE/OCUPADO"" E FERRAGENS P/ FIXAÇÃO EM GRANITO, EXCLUSIVE MARCO"</t>
  </si>
  <si>
    <t>"PORTA EM VENEZIANA, EM MADEIRA DE LEI, ESP. 30MM, INCL. DOBRADIÇAS, EXCLUSIVE
ALIZAR, MARCO E FECHADURA"</t>
  </si>
  <si>
    <t>"PORTA EM MADEIRA DE LEI COM ENCHIMENTO EM MADEIRA DE 1ª QUALIDADE, ESP. 30MM,
PARA PINTURA, INCL. ALIZARES, DOBRADIÇAS, FECHADURA TIPO ""LIVRE/OCUPADO"" EXCLUSIVE MARCO"</t>
  </si>
  <si>
    <t>"PORTA EM MADEIRA DE LEI TIPO ANGELIM PEDRA OU EQUIV.,ESP. 30 MM, MACIÇA C/ FRISO P/ VERNIZ, PADRÃO SEDU, COM VISOR, INCLUSIVE ALIZARES, DOBRADIÇAS E FECHADURA DE BOLA EXTERNA, EXCLUSIVE MARCO"</t>
  </si>
  <si>
    <t>062504</t>
  </si>
  <si>
    <t>Porta de madeira de lei angelim pedra ou equivalente, esp. 30 a 35 mm, maciça, tipo mexicana, c/ friso p/ verniz, padrão SEDU, com visor 1,00 x 0,15m e vidro 4mm, inclusive alizares, dobradiças e fechadura tipo alavanca em latão cromado LaFonte ou equiv., exclusive marco, dimensões: 0.90 x 2.10 m</t>
  </si>
  <si>
    <t>062505</t>
  </si>
  <si>
    <t>Porta de madeira de lei angelim pedra ou equivalente, esp. 30 a 35 mm, maciça, tipo mexicana, c/ friso p/ verniz, padrão SEDU, com visor 1,00 x 0,15m e vidro 4mm, inclusive alizares, dobradiças e fechadura tipo alavanca em latão cromado LaFonte ou equiv., exclusive marco, dimensões: 1.60 x 2.10 m (duas folhas)</t>
  </si>
  <si>
    <t>071106</t>
  </si>
  <si>
    <t>07.01.02</t>
  </si>
  <si>
    <t>INST.BRS</t>
  </si>
  <si>
    <t>Veneziana horizontal(brise soleil)de chapa de aluminio, com 1, 2mm de espessura, fixado em cantoneiras de aco aparafusadas, emedida pela area colocada.fornecimento e colocacao</t>
  </si>
  <si>
    <t>071701</t>
  </si>
  <si>
    <t>071703</t>
  </si>
  <si>
    <t>Janela tipo maxim-ar para vidro em alumínio anodizado natural, linha 25, completa, incl. puxador com tranca, caixilho, alizar e contramarco, exclusive vidro</t>
  </si>
  <si>
    <t>071704</t>
  </si>
  <si>
    <t>210301</t>
  </si>
  <si>
    <t>Guarda corpo de tubo de ferro galvanizado, diâm. 3" e 2", h=0.8 m inclusive pintura a óleo ou esmalte</t>
  </si>
  <si>
    <t>JANELA DE ALUMÍNIO TIPO MAXIM-AR, BATENTE/ REQUADRO 3 A 14 CM, VIDRO INCLUSO, FIXAÇÃO COM PARAFUSO, SEM GUARNIÇÃO/ ALIZAR, DIMENSÕES 60X80 (A X L) CM, SEM ACABAMENTO, VEDAÇÃO COM SILICONE, EXCLUSIVE CONTRAMARCO - FORNECIMENTO E INSTALAÇÃO. AF_11/2024</t>
  </si>
  <si>
    <t>JANELA DE ALUMÍNIO DE CORRER COM 3 FOLHAS (2 VENEZIANAS E 1 FOLHA PARA VIDRO,VIDRO INCLUSO), BATENTE/ REQUADRO 6 A 14 CM, SEM ACABAMENTO, FIXAÇÃO COM PARAFUSO, SEM GUARNIÇÃO/ ALIZAR, DIMENSÕES 100X120 CM, VEDAÇÃO COM SILICONE, EXCLUSIVE CONTRAMARCO - FORNECIMENTO E INSTALAÇÃO. AF_11/2024</t>
  </si>
  <si>
    <t>080102</t>
  </si>
  <si>
    <t>080201</t>
  </si>
  <si>
    <t>92569</t>
  </si>
  <si>
    <t>TRAMA DE AÇO COMPOSTA POR RIPAS E CAIBROS PARA TELHADOS DE ATÉ 2 ÁGUAS PARA TELHA DE ENCAIXE DE CERÂMICA OU DE CONCRETO, INCLUSO TRANSPORTE VERTICAL. AF_07/2019</t>
  </si>
  <si>
    <t>Estrut. metálica p/ quadra poliesp. coberta constituída por perfis formados a frio, aço estrutural ASTM A-570 G33 (terças) ASTM A-36 (demais perfis) c/ o sistema de trat. e pint conf descrito em notas da planilha</t>
  </si>
  <si>
    <t>102177</t>
  </si>
  <si>
    <t>INSTALAÇÃO DE VIDRO LAMINADO, E = 12 MM (4+4+4), ENCAIXADO EM PERFIL U. AF_01/2021_PS</t>
  </si>
  <si>
    <t>090203</t>
  </si>
  <si>
    <t>Cobertura nova de telhas onduladas de fibrocimento 8.0mm, inclusive cumeeiras e acessórios de fixação</t>
  </si>
  <si>
    <t>090312</t>
  </si>
  <si>
    <t>090302</t>
  </si>
  <si>
    <t>Rufo de chapa metálica nº 26 com largura de 30 cm</t>
  </si>
  <si>
    <t>090512</t>
  </si>
  <si>
    <t>Limpeza de calhas e coletores (serviço realizado por servente)</t>
  </si>
  <si>
    <t xml:space="preserve"> IMPERMEABILIZAÇÃO DE CAIXAS DE ÁGUA</t>
  </si>
  <si>
    <t>100105</t>
  </si>
  <si>
    <t>Índice de imperm.c/ manta asfáltica atendendo NBR 9952, asfalto polimérico, esp.4mm reforç.c/ filme int.em polietileno, regul.base c/ arg.1:4 esp.mín.15mm, proteção mec. arg. 1:4 esp.20mm, imprimação e juntas dilat.</t>
  </si>
  <si>
    <t>98555</t>
  </si>
  <si>
    <t>IMPERMEABILIZAÇÃO DE SUPERFÍCIE COM ARGAMASSA POLIMÉRICA / MEMBRANA ACRÍLICA, 3 DEMÃOS. AF_09/2023</t>
  </si>
  <si>
    <t>98565</t>
  </si>
  <si>
    <t>PROTEÇÃO MECÂNICA DE SUPERFICIE HORIZONTAL COM ARGAMASSA DE CIMENTO E AREIA, TRAÇO 1:3, E=3CM. AF_09/2023</t>
  </si>
  <si>
    <t>98575</t>
  </si>
  <si>
    <t>TRATAMENTO DE JUNTA DE DILATAÇÃO, COM TARUGO DE POLIETILENO E SELANTE PU, INCLUSO PREENCHIMENTO COM ESPUMA EXPANSIVA PU. AF_09/2023</t>
  </si>
  <si>
    <t>110101</t>
  </si>
  <si>
    <t>Chapisco com argamassa de cimento e areia média ou grossa lavada no traço 1:3, espessura 5 mm</t>
  </si>
  <si>
    <t>11.02.01</t>
  </si>
  <si>
    <t>104757U</t>
  </si>
  <si>
    <t>FORRO EM FIBRA MINERAL, PARA AMBIENTES COMERCIAIS, INCLUSIVE ESTRUTURA DE FIXAÇÃO. AF_08/2023</t>
  </si>
  <si>
    <t>104756</t>
  </si>
  <si>
    <t>FORRO EM MADEIRA PINUS, PARA AMBIENTES RESIDENCIAIS E COMERCIAIS, INCLUSIVE ESTRUTURA BIDIRECIONAL DE FIXAÇÃO. AF_08/2023</t>
  </si>
  <si>
    <t>99054</t>
  </si>
  <si>
    <t>ACABAMENTOS PARA FORRO (SANCA DE GESSO, MONTADA NA OBRA). AF_08/2023_PS</t>
  </si>
  <si>
    <t>110302</t>
  </si>
  <si>
    <t>Reboco tipo paulista de argamassa de cimento, cal hidratada CH1 e areia lavada traço 1:0.5:6, espessura 25 mm</t>
  </si>
  <si>
    <t>REVESTIMENTOS DE PAREDE</t>
  </si>
  <si>
    <t>120101</t>
  </si>
  <si>
    <t>Chapisco de argamassa de cimento e areia média ou grossa lavada, no traço 1:3, espessura 5 mm</t>
  </si>
  <si>
    <t>120201</t>
  </si>
  <si>
    <t>Azulejo branco 15 x 15 cm, juntas a prumo, assentado com argamassa de cimento colante, inclusive rejuntamento com cimento branco, marcas de referência Eliane, Cecrisa ou Portobello</t>
  </si>
  <si>
    <t>87273</t>
  </si>
  <si>
    <t>REVESTIMENTO CERÂMICO PARA PAREDES INTERNAS COM PLACAS TIPO ESMALTADA DE DIMENSÕES 33X45 CM APLICADAS NA ALTURA INTEIRA DAS PAREDES. AF_02/2023_PE</t>
  </si>
  <si>
    <t>COT05</t>
  </si>
  <si>
    <t>PAINEL ACÚSTICO - FORNECIMENTO E INSTAÇÃO</t>
  </si>
  <si>
    <t>120303</t>
  </si>
  <si>
    <t>120304</t>
  </si>
  <si>
    <t>Reboco de argamassa de cimento, cal hidratada CH1 e areia média ou grossa lavada no traço 1:0.5:6, com impermeabilizante para revestimentos (caixas, fossas, filtros, cisternas, etc...)</t>
  </si>
  <si>
    <t>PINGADEIRA</t>
  </si>
  <si>
    <t>CHAPIM (RUFO CAPA) EM AÇO GALVANIZADO, CORTE 33. AF_11/2020</t>
  </si>
  <si>
    <t>130110</t>
  </si>
  <si>
    <t>Lastro regularizado de concreto não estrutural, espessura de 8 cm</t>
  </si>
  <si>
    <t>REVESTIMENTO CERÂMICO PARA PISO COM PLACAS TIPO PORCELANATO DE DIMENSÕES 80X80 CM APLICADA EM AMB</t>
  </si>
  <si>
    <t>REVESTIMENTO CERÂMICO PARA PISO COM PLACAS TIPO PORCELANATO DE DIMENSÕES 80X80 CM APLICADA EM AMBIENTES EM AREA MAIOR QUE 10M2. AF_02/2023</t>
  </si>
  <si>
    <t>Assentamento e rejuntamento de piso em porcelanato (dimensões superiores a 30x30cm) utilizando dupla colagem de argamassa colante para porcelanato tipo ACIII, exclusive fornecimento do porcelanato e do rejunte</t>
  </si>
  <si>
    <t>PINTURA VERNIZ (INCOLOR) ALQUÍDICO EM MADEIRA, USO INTERNO E EXTERNO, 3 DEMÃOS. AF_01/2021</t>
  </si>
  <si>
    <t>ASSOALHO DE MADEIRA. AF_09/2020</t>
  </si>
  <si>
    <t>Rodapé de granito cinza andorinha altura de 7 cm e espessura de 2 cm, assentado com argamassa de cimento, cal hidratada CH1 e areia no traço 1:0,5:8, inclusive rejuntamento com cimento branco</t>
  </si>
  <si>
    <t>INSTALAÇÕES HIDRO-SANITÁRIAS</t>
  </si>
  <si>
    <t>ENTRADA DE ÁGUA E ESGOTO</t>
  </si>
  <si>
    <t>140208</t>
  </si>
  <si>
    <t>140108</t>
  </si>
  <si>
    <t>Fossa séptica de anéis pré-moldados de concreto, diâmetro 2.00 m, Hútil 2.0m completa, incluindo tampa c/visita de 60cm, concreto p/ fundo esp.10 cm, tubo de limpeza e escavação, conf. detalhe em projeto</t>
  </si>
  <si>
    <t>PONTOS HIDRO-SANITÁRIOS</t>
  </si>
  <si>
    <t>140701</t>
  </si>
  <si>
    <t>Ponto de água fria (lavatório, tanque, pia de cozinha, etc...)</t>
  </si>
  <si>
    <t>pt</t>
  </si>
  <si>
    <t>140702</t>
  </si>
  <si>
    <t>Ponto com registro de pressão (chuveiro, caixa de descarga, etc...)</t>
  </si>
  <si>
    <t>140703</t>
  </si>
  <si>
    <t>Ponto de torneira de jardim (para praças)</t>
  </si>
  <si>
    <t>140705</t>
  </si>
  <si>
    <t>Ponto para esgoto primário (vaso sanitário)</t>
  </si>
  <si>
    <t>140706</t>
  </si>
  <si>
    <t>Ponto para esgoto secundário (pia, lavatório, mictório, tanque, bidê, etc...)</t>
  </si>
  <si>
    <t>DER-EDF</t>
  </si>
  <si>
    <t>140714</t>
  </si>
  <si>
    <t>Ponto p/ válvula (mictório) inclusive válvula com acabamento marca de referência Pressmatic Docol, Mod. 17015106 e tubo de ligação p/mictório antivandalismo Pressmatic Mod. 00132606 marca de ref. Docol ou equivalente</t>
  </si>
  <si>
    <t>140707</t>
  </si>
  <si>
    <t>Ponto para caixa sifonada, inclusive caixa sifonada pvc 150x150x50mm com grelha em pvc</t>
  </si>
  <si>
    <t>89491</t>
  </si>
  <si>
    <t>caixa sifonada, pvc, dn 150 x 185 x 75 mm, junta elástica, fornecida e instalada em ramal de descarga ou em ramal de esgoto sanitário. af_08/2022</t>
  </si>
  <si>
    <t>89707</t>
  </si>
  <si>
    <t>Caixa sifonada, pvc, dn 100 x 100 x 50 mm, junta elástica, fornecida e instalada em ramal de descarga ou em ramal de esgoto sanitário. af_08/2022</t>
  </si>
  <si>
    <t>TUBULAÇÃO DE LIGAÇÃO DE CAIXAS - ESGOTO</t>
  </si>
  <si>
    <t>140905</t>
  </si>
  <si>
    <t>140904</t>
  </si>
  <si>
    <t>Tubo PVC rígido para esgoto no diâmetro de 150 mm incluindo escavação e aterro com areia</t>
  </si>
  <si>
    <t>140903</t>
  </si>
  <si>
    <t>Tubo PVC rígido para esgoto no diâmetro de 100 mm incluindo escavação e aterro com areia</t>
  </si>
  <si>
    <t>140906</t>
  </si>
  <si>
    <t>Tubo PVC rígido para esgoto no diâmetro de 75 mm incluindo escavação e aterro com areia</t>
  </si>
  <si>
    <t>TUBULAÇÃO DE LIGAÇÃO DE CAIXAS - PLUVIAL</t>
  </si>
  <si>
    <t>90698</t>
  </si>
  <si>
    <t>Tubo de pvc para rede coletora de esgoto de parede maciça, dn 300 mm, junta elástica, fornecimento e assentamento. af_01/2021</t>
  </si>
  <si>
    <t>CAIXAS EMPREGANDO ARGAMASSA DE CIMENTO, CAL E AREIA</t>
  </si>
  <si>
    <t>141101</t>
  </si>
  <si>
    <t>Caixas de inspeção de alv. blocos concreto 9x19x39cm, dim, 60x60cm e Hmáx = 1m, com tampa de conc. esp. 5cm, lastro de conc. esp. 10cm, revest intern. c/ chapisco e reboco impermeabilizado, incl. escavação, reaterro e enchimento</t>
  </si>
  <si>
    <t>Caixa de inspeção de alvenaria de blocos cerâmicos 10 furos 10x20x20cm dimensões de 30x30x60cm, com revestimento interno em chapisco e reboco, tampa de concreto esp.5cm e lastro de brita 5 cm</t>
  </si>
  <si>
    <t>Caixa de inspeção em PVC, diâmetro 300 mm, ref TEL-552, marca de referência Termotécnica ou equivalente, inclusive escavação e reaterro</t>
  </si>
  <si>
    <t>REDE DE ÁGUA FRIA - TUBOS SOLDÁVEIS DE PVC</t>
  </si>
  <si>
    <t>141410</t>
  </si>
  <si>
    <t>141411</t>
  </si>
  <si>
    <t>141413</t>
  </si>
  <si>
    <t>96683</t>
  </si>
  <si>
    <t>Tubo, ppr, dn 110, classe pn 25, instalado em prumada de água fornecimento e instalação. af_08/2022</t>
  </si>
  <si>
    <t>REDE DE ESGOTO - TUBOS DE PVC</t>
  </si>
  <si>
    <t>141906</t>
  </si>
  <si>
    <t>CAIXAS DE PVC / EQUIPAMENTOS</t>
  </si>
  <si>
    <t>170506</t>
  </si>
  <si>
    <t>Reservatório de polietileno de 500 L, inclusive adaptadores com flanges de PVC e torneira de bóia de 3/4"</t>
  </si>
  <si>
    <t>14.08.02</t>
  </si>
  <si>
    <t>170540</t>
  </si>
  <si>
    <t>Reservatório de polietileno de 1000l, inclusive peça de madeira 6x16cm para apoio, exclusive flanges e torneira de bóia</t>
  </si>
  <si>
    <t>170548</t>
  </si>
  <si>
    <t>Reservatório de polietileno de 1.500 L, exclusive adaptadores com flanges de PVC e torneira de bóia</t>
  </si>
  <si>
    <t>170528</t>
  </si>
  <si>
    <t>Reservatório de polietileno de 5.000 L, inclusive peça de madeira 6 x 16 cm para apoio, exclusive flanges e torneira de bóia</t>
  </si>
  <si>
    <t>170329</t>
  </si>
  <si>
    <t>Registro de gaveta com canopla cromada diam. 25mm (1"), marcas de referência Fabrimar, Deca ou Docol</t>
  </si>
  <si>
    <t>170328</t>
  </si>
  <si>
    <t>Registro de gaveta com canopla cromada, diam. 20mm (3/4"), marcas de referência Fabrimar, Deca ou Docol</t>
  </si>
  <si>
    <t>94490</t>
  </si>
  <si>
    <t>Registro de esfera, pvc, soldável, com volante, dn 32 mm - fornecimento e instalação. af_08/2021</t>
  </si>
  <si>
    <t>94492</t>
  </si>
  <si>
    <t>Registro de esfera, pvc, soldável, com volante, dn 50 mm - fornecimento e instalação. af_08/2021</t>
  </si>
  <si>
    <t>170365</t>
  </si>
  <si>
    <t>Válvula de retenção horizontal em bronze, tipo portinhola diâmetro 1.1/2" (40mm)</t>
  </si>
  <si>
    <t>90371</t>
  </si>
  <si>
    <t>Registro de esfera, pvc, roscável, com volante, 3/4" - fornecimento e instalação. af_08/2021</t>
  </si>
  <si>
    <t>Registro de esfera, pvc, roscável, com volante, 50 mm - fornecimento e instalação. af_08/2021</t>
  </si>
  <si>
    <t>160636</t>
  </si>
  <si>
    <t>Registro de gaveta bruto diâmetro 4" (100mm), volante em aço com acabamento pintura epóxi vermelha – Docol, Deca ou equivalente</t>
  </si>
  <si>
    <t>99626</t>
  </si>
  <si>
    <t>Válvula de retenção horizontal, de bronze, roscável, 4" - fornecimento e instalação. af_08/2021</t>
  </si>
  <si>
    <t>180301</t>
  </si>
  <si>
    <t>Bomba centrífuga trifásica 5CV, modelo 620 Dancor, ou equivalente</t>
  </si>
  <si>
    <t>VÁLVULA DE RETENÇÃO, DE BRONZE, PÉ COM CRIVOS, ROSCÁVEL, 4" - FORNECIMENTO E INSTALAÇÃO. AF_08/2021</t>
  </si>
  <si>
    <t>ABERTURA E FECHAMENTO DE RASGOS (inclusive preparo e aplicação de argamassa)</t>
  </si>
  <si>
    <t>142201</t>
  </si>
  <si>
    <t>142202</t>
  </si>
  <si>
    <t>142203</t>
  </si>
  <si>
    <t>REAPROVEITAMENTO DE ÁGUAS PLUVIAIS</t>
  </si>
  <si>
    <t>99268</t>
  </si>
  <si>
    <t>Poço de inspeção circular para drenagem, em concreto pré-moldado, diâmetro interno = 0,60 m, profundidade = 0,90 m, excluindo tampão. af_12/2020</t>
  </si>
  <si>
    <t>CABEAMENTO</t>
  </si>
  <si>
    <t>160816</t>
  </si>
  <si>
    <t>151003</t>
  </si>
  <si>
    <t>Caixa de passagem de alvenaria de blocos cerâmicos 10 furos 10x20x20cm, dimensão de 30x30x30cm, com revestimento interno em chapisco e reboco impermeabilizado, tampa de concreto esp. 5cm e lastro de brita 5cm.</t>
  </si>
  <si>
    <t>151002</t>
  </si>
  <si>
    <t>Caixa de passagem de alvenaria de blocos cerâmicos 10 furos 10x20x20cm dimensões de 50x50x50cm, com revestimento interno em chapisco e reboco impermeabilizado, tampa de concreto esp.5cm e lastro de brita 5 cm</t>
  </si>
  <si>
    <t>160807</t>
  </si>
  <si>
    <t>Conector RJ 45 macho</t>
  </si>
  <si>
    <t>160845</t>
  </si>
  <si>
    <t>Patch Cord Multilan Extra Flexível CAT 5e U/UTP RJ-45 - 1,50 m</t>
  </si>
  <si>
    <t>160844</t>
  </si>
  <si>
    <t>160865</t>
  </si>
  <si>
    <t>Switch 48 portas RJ-45 10/100 + 2 10/100/1000, inclusive fixação em Rack 19"</t>
  </si>
  <si>
    <t>160823</t>
  </si>
  <si>
    <t>160825</t>
  </si>
  <si>
    <t>160835</t>
  </si>
  <si>
    <t>150628</t>
  </si>
  <si>
    <t>150802</t>
  </si>
  <si>
    <t>DER- ES</t>
  </si>
  <si>
    <t>160851</t>
  </si>
  <si>
    <t>160808</t>
  </si>
  <si>
    <t>Fornecimento e instalação de Cabo de rede par trançado 4 pares Categoria 5e</t>
  </si>
  <si>
    <t>150632</t>
  </si>
  <si>
    <t>150633</t>
  </si>
  <si>
    <t>150634</t>
  </si>
  <si>
    <t>160872</t>
  </si>
  <si>
    <t>160873</t>
  </si>
  <si>
    <t>COMP</t>
  </si>
  <si>
    <t>COT0050</t>
  </si>
  <si>
    <t>Speed Dome - Poste (6m) com Câmera Speed Dome e bateria</t>
  </si>
  <si>
    <t>150851</t>
  </si>
  <si>
    <t>150875</t>
  </si>
  <si>
    <t>150835</t>
  </si>
  <si>
    <t>Eletrocalha perfurada em chapa de aço galvanizado nº16, 150x50mm, sem tampa</t>
  </si>
  <si>
    <t>150870</t>
  </si>
  <si>
    <t>150866</t>
  </si>
  <si>
    <t>151127</t>
  </si>
  <si>
    <t>Eletroduto de PVC rígido roscável, diâmetro 1", inclusive conexões</t>
  </si>
  <si>
    <t>151133</t>
  </si>
  <si>
    <t>Eletroduto flexível corrugado diâmetro 1", Amarelo ? Tigreflex ou equivalente</t>
  </si>
  <si>
    <t>151137</t>
  </si>
  <si>
    <t>Eletroduto PEAD parede simples, corrugado, cor preta, diâmetro 1.1/2", referencia Kanaflex, Plastibras ou equivalente</t>
  </si>
  <si>
    <t>151139</t>
  </si>
  <si>
    <t>Eletroduto PEAD parede simples, corrugado, cor preta, diâmetro 2", referencia Kanaflex, Plastibras ou equivalente</t>
  </si>
  <si>
    <t>151140</t>
  </si>
  <si>
    <t>Eletroduto PEAD parede simples, corrugado, cor preta, diâmetro 3", referencia Kanaflex, Plastibras ou equivalente</t>
  </si>
  <si>
    <t>ELÉTRICA</t>
  </si>
  <si>
    <t>151017</t>
  </si>
  <si>
    <t>Caixa de passagem de alvenaria de blocos de concreto 9x19x39cm, dimensões de  1.00x1.00x1.00m, com revestimento interno em chapisco e reboco tampa de concreto esp. 5cm e lastro de brita 5cm</t>
  </si>
  <si>
    <t>Caixa de passagem de alvenaria de blocos cerâmicos 10 furos 10x20x20cm, dimensão de 30x30x30cm, com revestimento interno em chapisco e reboco, tampa de concreto esp. 5cm e lastro de brita 5cm</t>
  </si>
  <si>
    <t>Caixa de passagem de alvenaria de blocos cerâmicos 10 furos 10x20x20cm dimensões de 50x50x50cm, com revestimento interno em chapisco e reboco, tampa de concreto esp.5cm e lastro de brita 5 cm</t>
  </si>
  <si>
    <t>COT0049</t>
  </si>
  <si>
    <t xml:space="preserve">QD - PISO - METÁLICO - GABINETE DE DISTRIBUIÇÃO - PISO - METÁLICO - 190x80x60 CM - C/ BARRAMENTO PARA 1200A (QGBT) </t>
  </si>
  <si>
    <t>QD - PISO - METÁLICO - GABINETE DE DISTRIBUIÇÃO - PISO - METÁLICO - 190x80x60 CM - C/ BARRAMENTO PARA 1200A (3F) (QDAC-G)</t>
  </si>
  <si>
    <t>150307</t>
  </si>
  <si>
    <t>QUADRO DE DISTRIBUIÇÃO DE ENERGIA, DE EMBUTIR, COM 18 DIVISÕES MODULARES, COM BARRAMENTO (QD-INC)</t>
  </si>
  <si>
    <t>150850</t>
  </si>
  <si>
    <t>Curva horizontal 90º para eletrocalha metálica, 200x100mm, galvanizada, ref. MEGA MG 2510 ou equivalente</t>
  </si>
  <si>
    <t>150861</t>
  </si>
  <si>
    <t>151420</t>
  </si>
  <si>
    <t>Cabo de cobre termoplástico (PVC) flexível isolado 0,60/1kV, antichama, HEPR 90ºC ? 10,0mm2</t>
  </si>
  <si>
    <t>151421</t>
  </si>
  <si>
    <t>Cabo de cobre termoplástico (PVC) flexível isolado 0,60/1kV, antichama, HEPR 90ºC ? 16,0mm2</t>
  </si>
  <si>
    <t>151422</t>
  </si>
  <si>
    <t>Cabo de cobre termoplástico (PVC) flexível isolado 0,60/1kV, antichama, HEPR 90ºC ? 25,0mm2</t>
  </si>
  <si>
    <t>151428</t>
  </si>
  <si>
    <t>Cabo de cobre termoplástico (PVC) flexível isolado 0,60/1kV, antichama, HEPR 90ºC ? 300,0mm2</t>
  </si>
  <si>
    <t>151423</t>
  </si>
  <si>
    <t>Cabo de cobre termoplástico (PVC) flexível isolado 0,60/1kV, antichama, HEPR 90ºC ? 35,0mm2</t>
  </si>
  <si>
    <t>151425</t>
  </si>
  <si>
    <t>Cabo de cobre termoplástico (PVC) flexível isolado 0,60/1kV, antichama, HEPR 90ºC ? 50,0mm2</t>
  </si>
  <si>
    <t>151419</t>
  </si>
  <si>
    <t>Cabo de cobre termoplástico (PVC) flexível isolado 0,60/1kV, antichama, HEPR 90ºC ? 6,0mm2</t>
  </si>
  <si>
    <t>151429</t>
  </si>
  <si>
    <t>Cabo de cobre termoplástico (PVC) flexível isolado 0,60/1kV, antichama, HEPR 90ºC ? 70,0mm2</t>
  </si>
  <si>
    <t>151426</t>
  </si>
  <si>
    <t>Cabo de cobre termoplástico (PVC) flexível isolado 0,60/1kV, antichama, HEPR 90ºC ? 95,0mm2</t>
  </si>
  <si>
    <t>151417</t>
  </si>
  <si>
    <t>Cabo de cobre termoplástico (PVC) flexível isolado 0,60/1kV, antichama, HEPR 90ºC ? 2,5mm2</t>
  </si>
  <si>
    <t>151418</t>
  </si>
  <si>
    <t>Cabo de cobre termoplástico (PVC) flexível isolado 0,60/1kV, antichama, HEPR 90ºC ? 4,0mm2</t>
  </si>
  <si>
    <t>151401</t>
  </si>
  <si>
    <t>Cabo de cobre termoplástico (PVC) flexível isolado 450/750V, antichama BWF livre de chumbo, 70ºC - 1,5mm2</t>
  </si>
  <si>
    <t>151405</t>
  </si>
  <si>
    <t>Cabo de cobre termoplástico (PVC) flexível isolado 450/750V, antichama BWF livre de chumbo, 70ºC ? 10,0mm2</t>
  </si>
  <si>
    <t>151402</t>
  </si>
  <si>
    <t>Cabo de cobre termoplástico (PVC) flexível isolado 450/750V, antichama BWF livre de chumbo, 70ºC - 2,5mm2</t>
  </si>
  <si>
    <t>151403</t>
  </si>
  <si>
    <t>Cabo de cobre termoplástico (PVC) flexível isolado 450/750V, antichama BWF livre de chumbo, 70ºC ? 4,0mm2</t>
  </si>
  <si>
    <t>151404</t>
  </si>
  <si>
    <t>Cabo de cobre termoplástico (PVC) flexível isolado 450/750V, antichama BWF livre de chumbo, 70ºC ? 6,0mm2</t>
  </si>
  <si>
    <t>160632</t>
  </si>
  <si>
    <t>Tubo de aço carbono galvanizado, com costura, classe leve, diâmetro 100mm (4"), inclusive pintura com uma demão de primer Epoxi e duas demãos de tinta à base de Epoxi na cor vermelha</t>
  </si>
  <si>
    <t>180201</t>
  </si>
  <si>
    <t>Tomada padrão brasileiro linha branca, NBR 14136 (1 módulos) - 2 polos + terra 10A/250V, inclusive suporte e placa 4x2"</t>
  </si>
  <si>
    <t>151803</t>
  </si>
  <si>
    <t>151810</t>
  </si>
  <si>
    <t>Ponto padrão de interruptor de 1 tecla paralelo - considerando eletroduto PVC rígido de 3/4" inclusive conexões (8.5m), fio isolado PVC de 2.5mm2 (28.8m) e caixa PVC 4x2" (1 und)</t>
  </si>
  <si>
    <t>151809</t>
  </si>
  <si>
    <t>Ponto padrão de interruptor de 2 teclas simples - considerando eletroduto PVC rígido de 3/4" inclusive conexões (3.3m), fio isolado PVC de 2.5mm2 (17.2m) e caixa PVC 4x2" (1 und)</t>
  </si>
  <si>
    <t>151333</t>
  </si>
  <si>
    <t>Disjuntor caixa moldada termomagnetico fixo, tripolar 175A, Icu: 50kA, 400/500Vca, referência Siemens, Soprano, Schneider ou equivalente</t>
  </si>
  <si>
    <t>151334</t>
  </si>
  <si>
    <t>Disjuntor caixa moldada termomagnetico fixo, tripolar 200A, Icu: 50kA, 400/500Vca, referência Siemens, Soprano, Schneider ou equivalente</t>
  </si>
  <si>
    <t>101900</t>
  </si>
  <si>
    <t>DISJUNTOR BAIXA TENSÃO TRIPOLAR A SECO 800A/600V - FORNECIMENTO E INSTALAÇÃO. AF_10/2020</t>
  </si>
  <si>
    <t>152209</t>
  </si>
  <si>
    <t>(composição representativa) Montagem elétrica de Disjuntor Tripolar até 400A</t>
  </si>
  <si>
    <t>151321</t>
  </si>
  <si>
    <t>Mini-Disjuntor bipolar 25A, curva C, 5kA, 127/220Vca, referência Siemens, GE, Schneider ou equivalente</t>
  </si>
  <si>
    <t>151322</t>
  </si>
  <si>
    <t>Mini-Disjuntor bipolar 32A, curva C, 5kA, 127/220Vca, referência Siemens, GE, Schneider ou equivalente</t>
  </si>
  <si>
    <t>151323</t>
  </si>
  <si>
    <t>Mini-Disjuntor bipolar 40A, curva C, 5kA, 127/220Vca, referência Siemens, GE, Schneider ou equivalente</t>
  </si>
  <si>
    <t>151308</t>
  </si>
  <si>
    <t>Mini-Disjuntor bipolar 50A, curva C, 5kA, 127/220Vca, referência Siemens, GE, Schneider ou equivalente</t>
  </si>
  <si>
    <t>151309</t>
  </si>
  <si>
    <t>Mini-Disjuntor tripolar 16A, curva C, 5kA, 127/220Vca, referência Siemens, GE, Schneider ou equivalente</t>
  </si>
  <si>
    <t>151310</t>
  </si>
  <si>
    <t>Mini-Disjuntor tripolar 40A, curva C, 5kA, 127/220Vca, referência Siemens, GE, Schneider ou equivalente</t>
  </si>
  <si>
    <t>151311</t>
  </si>
  <si>
    <t>Mini-Disjuntor tripolar 50A, curva C, 5kA, 127/220Vca, referência Siemens, GE, Schneider ou equivalente</t>
  </si>
  <si>
    <t>151331</t>
  </si>
  <si>
    <t>Mini-Disjuntor tripolar 80 A, curva C, 5kA, 127/220Vca, referência Siemens, GE, Schneider ou equivalente</t>
  </si>
  <si>
    <t>151301</t>
  </si>
  <si>
    <t>Mini-Disjuntor monopolar 16A, curva C, 5kA, 127/220Vca, referência Siemens, GE, Schneider ou equivalente</t>
  </si>
  <si>
    <t>151302</t>
  </si>
  <si>
    <t>Mini-Disjuntor monopolar 20A, curva C, 5kA, 127/220Vca, referência Siemens, GE, Schneider ou equivalente</t>
  </si>
  <si>
    <t>DER -ES</t>
  </si>
  <si>
    <t>151304</t>
  </si>
  <si>
    <t>Mini-Disjuntor monopolar 32A, curva C, 5kA, 127/220Vca, referência Siemens, GE, Schneider ou equivalente</t>
  </si>
  <si>
    <t>151337</t>
  </si>
  <si>
    <t>Dispositivo de proteção contra surto (DPS) bipolar, 40kA, 275Vca, referência Siemens, Steck, Clamper ou equivalente</t>
  </si>
  <si>
    <t>151350</t>
  </si>
  <si>
    <t>Interruptor Diferencial Bipolar DR 25A, 30mA ? 6kA, referência Siemens, Schneider, WEG ou equivalente</t>
  </si>
  <si>
    <t>151357</t>
  </si>
  <si>
    <t>Interruptor Diferencial Bipolar DR 40A, 30mA ? 6kA, referência Siemens, Schneider, WEG ou equivalente</t>
  </si>
  <si>
    <t>151359</t>
  </si>
  <si>
    <t>Interruptor Diferencial Bipolar DR 63A, 30mA - 6kA, referência Siemens, Schneider, WEG ou equivalente</t>
  </si>
  <si>
    <t>150860</t>
  </si>
  <si>
    <t>Tampa de encaixe para eletrocalha em chapa de aço galvanizada 18, dim. 150mm</t>
  </si>
  <si>
    <t>150806</t>
  </si>
  <si>
    <t>150801</t>
  </si>
  <si>
    <t>151132</t>
  </si>
  <si>
    <t>Eletroduto flexível corrugado diâmetro 3/4", Amarelo ? Tigreflex ou equivalente</t>
  </si>
  <si>
    <t>151138</t>
  </si>
  <si>
    <t>Eletroduto PEAD parede simples, corrugado, cor preta, diâmetro 1.1/4", referencia Kanaflex, Plastibras ou equivalente</t>
  </si>
  <si>
    <t>151142</t>
  </si>
  <si>
    <t>Eletroduto PEAD parede simples, corrugado, cor preta, diâmetro 6", referencia Kanaflex, Plastibras ou equivalente</t>
  </si>
  <si>
    <t>39028</t>
  </si>
  <si>
    <t>PERFILADO PERFURADO SIMPLES 38 X 38 MM, CHAPA 22</t>
  </si>
  <si>
    <t>96559</t>
  </si>
  <si>
    <t>SUPORTE PARA DUTO EM CHAPA GALVANIZADA BITOLA 26, EM PERFILADO COM COMPRIMENTO DE 35 CM FIXADO EM LAJE, POR METRO DE DUTO FIXADO. AF_09/2023</t>
  </si>
  <si>
    <t>Quadro de distribuição de energia, de embutir, com 18 divisões modulares, com barramento - 100A</t>
  </si>
  <si>
    <t>150315</t>
  </si>
  <si>
    <t>Quadro distrib. energia, embutido ou semi embutido, capac. p/ 28 disj. DIN, c/barram trif. 150A barra. neutro e terra, fab. em chapa de aço 12 USG com porta, espelho, trinco com fechad ch yale, Ref. QDETG II-34DIN-CEMAR ou equiv.</t>
  </si>
  <si>
    <t>SIURB</t>
  </si>
  <si>
    <t>9005019</t>
  </si>
  <si>
    <t>QUADRO DE DISTRIBUIÇÃO EM CHAPA METÁLICA - PARA ATÉ 70 DISJUNTORES</t>
  </si>
  <si>
    <t>151903</t>
  </si>
  <si>
    <t>Quadro distrib. energia, embutido ou semi embutido, capac. p/ 34 disj. DIN, c/barram trif. 100A barra. neutro e terra, fab. em chapa de aço 12 USG com porta, espelho, trinco com fechad ch yale, Ref. QDTN II-34DIN-CEMAR ou equiv</t>
  </si>
  <si>
    <t>151904</t>
  </si>
  <si>
    <t>Quadro distrib. energia, embutido ou semi embutido, capac. p/ 44 disj. DIN, c/barram trif. 100A barra. neutro e terra, fab. em chapa de aço 12 USG com porta, espelho, trinco com fechad ch yale, Ref. QDTN II-44DIN-CEMAR ou equiv</t>
  </si>
  <si>
    <t>152235</t>
  </si>
  <si>
    <t>(composição representativa) Teste de aceitação para Quadro de distribuição até 64 circuitos, com emissão de ART e laudo PTTA/TTA</t>
  </si>
  <si>
    <t>151306</t>
  </si>
  <si>
    <t>Mini-Disjuntor bipolar 16A, curva C, 5kA, 127/220Vca, referência Siemens, GE, Schneider ou equivalente</t>
  </si>
  <si>
    <t>151307</t>
  </si>
  <si>
    <t>Mini-Disjuntor bipolar 20A, curva C, 5kA, 127/220Vca, referência Siemens, GE, Schneider ou equivalente</t>
  </si>
  <si>
    <t>151328</t>
  </si>
  <si>
    <t>Mini-Disjuntor tripolar 25A, curva C, 5kA, 127/220Vca, referência Siemens, GE, Schneider ou equivalente</t>
  </si>
  <si>
    <t>Mini-Disjuntor tripolar 32A, curva C, 5kA, 127/220Vca, referência Siemens, GE, Schneider ou equivalente</t>
  </si>
  <si>
    <t>152214</t>
  </si>
  <si>
    <t>(composição representativa) Montagem elétrica de Dispositivo Diferencial Residual (DR) Bipolar e Tetrapolar - 25A</t>
  </si>
  <si>
    <t>(composição representativa) Montagem elétrica de Dispositivo Diferencial Residual (DR) Bipolar e Tetrapolar - 40A</t>
  </si>
  <si>
    <t>(composição representativa) Montagem elétrica de Dispositivo Diferencial Residual (DR) Bipolar e Tetrapolar - 63A</t>
  </si>
  <si>
    <t>FOTOVOLTÁICO</t>
  </si>
  <si>
    <t>SPDA</t>
  </si>
  <si>
    <t>150610</t>
  </si>
  <si>
    <t>Caixa de aterramento de concreto simples, nas dimensões de 30x30x25cm, com revest. int. em chapisco e reboco, tampa de concreto esp.5cm e lastro de brita esp. 5 cm, incl. haste 5/8"x2400mm</t>
  </si>
  <si>
    <t>160314</t>
  </si>
  <si>
    <t>Mastro simples 3mx1.1/2", uma descida, incl. base de fixação, captor, conj.de contraventagem c/abraçadeira p/3 estais em tubo e demais acessórios, excl. cabo de cobre de descida e suportes isoladores, ref.Termotécnica ou equiv.</t>
  </si>
  <si>
    <t>160309</t>
  </si>
  <si>
    <t>Terminal aéreo em latão (minicaptor), com conector e fixação horizontal 250mm x 10mm, ref. TEL-2024, inclusive vedação dos furos com poliuretano ref. TEL 5905, marca de ref. Termotécnica ou equivalente</t>
  </si>
  <si>
    <t>160326</t>
  </si>
  <si>
    <t>160318</t>
  </si>
  <si>
    <t>160317</t>
  </si>
  <si>
    <t>NIPLE, EM FERRO GALVANIZADO, CONEXÃO ROSQUEADA, DN 25 (1"), INSTALADO EM REDE DE ALIMENTAÇÃO PARA SPRINKLER - FORNECIMENTO E INSTALAÇÃO. AF_10/2020</t>
  </si>
  <si>
    <t>CONECTOR SPLIT-BOLT, PARA SPDA, PARA CABOS DE 16 A 70 MM2 - FORNECIMENTO E INSTALAÇÃO. AF_08/2023</t>
  </si>
  <si>
    <t>SPDA ESTRUTURAL</t>
  </si>
  <si>
    <t>160325</t>
  </si>
  <si>
    <t>Caixa de equalização de potenciais para uso interno e externo com nove (9) terminais para aterramento (BEP), em aço, com flange inferior e vedação na porta, ref. TEL-903, marca de referência Termotécnica ou equivalente</t>
  </si>
  <si>
    <t>INSTALAÇÃO DE TELEFONE</t>
  </si>
  <si>
    <t>160124</t>
  </si>
  <si>
    <t>Cabo telefônico CI, diâmetro do condutor 50mm, 20 pares</t>
  </si>
  <si>
    <t>160110</t>
  </si>
  <si>
    <t>Caixa de telefone em chapa de aço padrão TELEBRAS do tipo CIE-4 600x600x120 mm</t>
  </si>
  <si>
    <t>160120</t>
  </si>
  <si>
    <t>Tomada para telefone com conector RJ 11</t>
  </si>
  <si>
    <t>160122</t>
  </si>
  <si>
    <t>Caixa de telefone em chapa de aço padrão TELEBRAS do tipo CIE-6 1200x1200x150 mm</t>
  </si>
  <si>
    <t>151128</t>
  </si>
  <si>
    <t>Eletroduto de PVC rígido roscável, diâmetro 1.1/4", inclusive conexões</t>
  </si>
  <si>
    <t>151130</t>
  </si>
  <si>
    <t>Eletroduto de PVC rígido roscável, diâmetro 2", inclusive conexões</t>
  </si>
  <si>
    <t>150804</t>
  </si>
  <si>
    <t>150803</t>
  </si>
  <si>
    <t>100563</t>
  </si>
  <si>
    <t>quadro de distribuição para telefone n.5, 80x80x12cm em chapa metalica, sem acessorios, padrao telebras, fornecimento e instalação. af_11/2019</t>
  </si>
  <si>
    <t>160123</t>
  </si>
  <si>
    <t>caixa de passagem para telefone 15x15x10cm (sobrepor), fornecimento e instalacao. af_11/2019</t>
  </si>
  <si>
    <t>INSTALAÇÃO DE GÁS</t>
  </si>
  <si>
    <t>160208</t>
  </si>
  <si>
    <t>Abrigo de gás para 4 cilindros 45 Kg, exec. em alv. bloco conc cheio, dim: 4.05x1.00x1.80m, inclusive cilindros e rede interna do abrigo compreendendo tubos e válvulas de esfera que interligam os cilindros, conforme Norma Técnica 18/2015 do CBMES, exclusive extintor de incêndio</t>
  </si>
  <si>
    <t>Manômetro com caixa e anel tipo cravado em aço inox, mostrador duplo 100 mm escalas de 0 à 10 kgf/cm2
e 0 à 150 PSI, saída traseira de 1/4" BSP</t>
  </si>
  <si>
    <t>95249</t>
  </si>
  <si>
    <t>VÁLVULA ESFERA PARA GÁS, 3/4" - FORNECIMENTO E INSTALAÇÃO. AF_08/2021</t>
  </si>
  <si>
    <t>100799</t>
  </si>
  <si>
    <t>TUBO, PEX, MULTICAMADA, COM TUBO LUVA, DN 16, INSTALADO EM IMPLANTAÇÃO DE INSTALAÇÕES DE GÁS - FORNECIMENTO E INSTALAÇÃO. AF_01/2020</t>
  </si>
  <si>
    <t>TUBO, PEX, MULTICAMADA, COM TUBO LUVA, DN 32, INSTALADO EM IMPLANTAÇÃO DE INSTALAÇÕES DE GÁS - FORNECIMENTO E INSTALAÇÃO. AF_01/2020</t>
  </si>
  <si>
    <t>96848</t>
  </si>
  <si>
    <t>JOELHO 90 GRAUS, METALICO, PARA INSTALAÇÕES EM PEX, DN 32 MM X 1" - FORNECIMENTO E INSTALAÇÃO. AF_02/2023</t>
  </si>
  <si>
    <t>96837</t>
  </si>
  <si>
    <t>JOELHO 90 GRAUS, METALICO, PARA INSTALAÇÕES EM PEX, DN 16 MM X 1/2" - FORNECIMENTO E INSTALAÇÃO. AF_02/2023</t>
  </si>
  <si>
    <t>96860</t>
  </si>
  <si>
    <t>TÊ, METÁLICO, PARA INSTALAÇÕES EM PEX  DN 16 MM, CONEXÃO POR ANEL DESLIZANTE - FORNECIMENTO E INSTALAÇÃO. AF_02/2023</t>
  </si>
  <si>
    <t>96866</t>
  </si>
  <si>
    <t>TÊ, METÁLICO, PARA INSTALAÇÕES EM PEX  DN 32 MM, CONEXÃO POR ANEL DESLIZANTE - FORNECIMENTO E INSTALAÇÃO. AF_02/2023</t>
  </si>
  <si>
    <t>VÁLVULA ESFERA BRUTA 1" - FORNECIMENTO E INSTALAÇÃO</t>
  </si>
  <si>
    <t>103029</t>
  </si>
  <si>
    <t>Registro regulador de gás de cozinha - Fornecimento e instalação. AF_08/2021</t>
  </si>
  <si>
    <t>067008</t>
  </si>
  <si>
    <t>Adaptador storz - roscas interna - 63mm</t>
  </si>
  <si>
    <t>160671</t>
  </si>
  <si>
    <t>Abrigo de parede para hidrante 80x90x17cm sobrepor, em chapa de aço com pintura eletrostática vermelha, visor transparente e inscrição "HIDRANTE", registro globo angular 45º 2.1/2” (63mm), adaptador em latão storz engate rápido 2.1/2”, 2 (duas) mangueiras de incêndio 15m –2.1/2” - Tipo 2 e esguicho regulável em latão 2.1/2”, fornecimento e instalação</t>
  </si>
  <si>
    <t>CHAVE DUPLA PARA CONEXOES TIPO STORZ, ENGATE RÁPIDO 63X38 MM</t>
  </si>
  <si>
    <t>010902</t>
  </si>
  <si>
    <t>ESGUICHO TIPO JATO SOLIDO, EM LATAO, ENGATE RAPIDO 1 1/2" X 13 MM, PARA MANGUEIRA EM INSTALACAO PREDIAL COMBATE A INCENDIO</t>
  </si>
  <si>
    <t>NIPLE, EM FERRO GALVANIZADO, CONEXÃO ROSQUEADA, DN 65 (2 1/2"), INSTALADO EM REDE DE ALIMENTAÇÃO
PARA SPRINKLER - FORNECIMENTO E INSTALAÇÃO. AF_10/2020</t>
  </si>
  <si>
    <t>92642</t>
  </si>
  <si>
    <t>TÊ, EM FERRO GALVANIZADO, CONEXÃO ROSQUEADA, DN 65 (2 1/2"), INSTALADO EM REDE DE ALIMENTAÇÃO PARA HIDRANTE - FORNECIMENTO E INSTALAÇÃO. AF_10/2020</t>
  </si>
  <si>
    <t>101915</t>
  </si>
  <si>
    <t>CONJUNTO DE MANGUEIRA PARA COMBATE A INCÊNDIO EM FIBRA DE POLIESTER PURA, COM 1.1/2", REVESTIDA
INTERNAMENTE, COMPRIMENTO DE 15M - FORNECIMENTO E INSTALAÇÃO. AF_10/2020</t>
  </si>
  <si>
    <t>REGISTRO OU VÁLVULA GLOBO ANGULAR EM LATÃO, PARA HIDRANTES EM INSTALAÇÃO PREDIAL DE INCÊNDIO, 45 GRAUS, 2 1/2" - FORNECIMENTO E INSTALAÇÃO. AF_08/2021</t>
  </si>
  <si>
    <t xml:space="preserve">067051 </t>
  </si>
  <si>
    <t>TAMPAO COM CORRENTE PARA REGISTRO GLOBO ANGULAR</t>
  </si>
  <si>
    <t>92905</t>
  </si>
  <si>
    <t>UNIÃO, EM FERRO GALVANIZADO, CONEXÃO ROSQUEADA, DN 20 (3/4") - FORNECIMENTO E INSTALAÇÃO. AF_10/2020</t>
  </si>
  <si>
    <t>COTOVELO 45 GRAUS, EM FERRO GALVANIZADO, CONEXÃO ROSQUEADA, DN 65 MM (2 1/2") - FORNECIMENTO E INSTALAÇÃO</t>
  </si>
  <si>
    <t>COTOVELO 90 GRAUS, EM FERRO GALVANIZADO, CONEXÃO ROSQUEADA, DN 65 MM (2 1/2") - FORNECIMENTO E INSTALAÇÃO</t>
  </si>
  <si>
    <t>TUBO DE AÇO GALVANIZADO COM COSTURA, CLASSE MÉDIA, DN 65 (2 1/2"), CONEXÃO ROSQUEADA, INSTALADO EM REDE DE ALIMENTAÇÃO PARA HIDRANTE - FORNECIMENTO E INSTALAÇÃO.</t>
  </si>
  <si>
    <t>160634</t>
  </si>
  <si>
    <t>REGISTRO GLOBO ANGULAR 90 DE 63MM</t>
  </si>
  <si>
    <t>068138</t>
  </si>
  <si>
    <t xml:space="preserve">TAMPA PARA CAIXA TIPO R1, EM FERRO FUNDIDO, DIMENSÕES INTERNAS: 0,40 X 0,60 M </t>
  </si>
  <si>
    <t>067051</t>
  </si>
  <si>
    <t>010899</t>
  </si>
  <si>
    <t>ADAPTADOR EM LATAO, ENGATE RAPIDO 2 1/2" X ROSCA INTERNA 5 FIOS 2 1/2", PARA INSTALACAO PREDIAL DE COMBATE A INCENDIO</t>
  </si>
  <si>
    <t>067007</t>
  </si>
  <si>
    <t>CAIXA DE AÇO 40X60X40 P/ HIDRANTE DE REQUALQUE</t>
  </si>
  <si>
    <t>105208</t>
  </si>
  <si>
    <t>CURVA 90 GRAUS, EM FERRO GALVANIZADO, CONEXÃO ROSQUEADA, DN 65 MM (2 1/2")  FORNECIMENTO E INSTALAÇÃO. AF_04/2024</t>
  </si>
  <si>
    <t>102118</t>
  </si>
  <si>
    <t>102111</t>
  </si>
  <si>
    <t>BOMBA CENTRÍFUGA, MONOFÁSICA, 0,5 CV OU 0,49 HP, HM 6 A 20 M, Q 1,2 A 8,3 M3/H - FORNECIMENTO E INSTALAÇÃO. AF_12/2020</t>
  </si>
  <si>
    <t>011747</t>
  </si>
  <si>
    <t>Válvula de Esfera - 2 1/2"</t>
  </si>
  <si>
    <t>170367</t>
  </si>
  <si>
    <t>Válvula de retenção horizontal em bronze, tipo portinhola diâmetro 2.1/2" (65mm)</t>
  </si>
  <si>
    <t>170375</t>
  </si>
  <si>
    <t>Válvula de Retenção Vertical em bronze, classe 125 diâmetro 2.1/2" (65mm)</t>
  </si>
  <si>
    <t>Tanque de pressurização/cilindro de pressão, capacidade de 10 litros, fornecimento (vazio) e instalação, exclusive conexões</t>
  </si>
  <si>
    <t>160661</t>
  </si>
  <si>
    <t>Pressostato 80 / 120 PSI com válvula, capacidade elétrica até 5CV em 250VCA, Margirius ou equivalente</t>
  </si>
  <si>
    <t>160657</t>
  </si>
  <si>
    <t>Manômetro com caixa e anel tipo cravado em aço inox, mostrador duplo 100 mm escalas de 0 à 10 kgf/cm2 e 0 à 150 PSI, saída traseira de 1/4" BSP</t>
  </si>
  <si>
    <t>Registro de gaveta bruto diâmetro 2.1/2" (65mm), volante em aço com acabamento pintura epóxi vermelha – Docol, Deca ou equivalente</t>
  </si>
  <si>
    <t>DEER-ES</t>
  </si>
  <si>
    <t>170320</t>
  </si>
  <si>
    <t>Registro de gaveta bruto ABNT diâmetro 3/4" (20mm) – Docol, Deca ou equivalente</t>
  </si>
  <si>
    <t>102136</t>
  </si>
  <si>
    <t>INSTALAÇÃO DE QUADRO ELÉTRICO PARA BOMBAS TRIFÁSICAS ATÉ 25 CV (NÃO INCLUI O FORNECIMENTO DO
QUADRO). AF_12/2020</t>
  </si>
  <si>
    <t>160603</t>
  </si>
  <si>
    <t>Hidrante de recalque no passeio, composto por caixa metálica 40x60x40 cm, com registro globo angular 90º DN 65 mm (2.1/2”), adaptador Storz para engate rápido e tampão Storz com corrente de segurança, para conexão de viatura do Corpo de Bombeiros ao sistema de combate a incêndio</t>
  </si>
  <si>
    <t>160674</t>
  </si>
  <si>
    <t>Acionador manual  de bomba com botão liga - 110 x 100 x 48,5mm</t>
  </si>
  <si>
    <t>Acionador manual de alarme de incêndio endereçável, tipo quebra-vidro, na cor vermelha, incluso martelo – Fornecimento, instalação e configuração</t>
  </si>
  <si>
    <t>160676</t>
  </si>
  <si>
    <t>Sirene eletrônica média tipo corneta em ABS, IP52 – 12 e 24V – Fornecimento e instalação</t>
  </si>
  <si>
    <t>170614</t>
  </si>
  <si>
    <t>Barra antipanico dupla</t>
  </si>
  <si>
    <t>160605</t>
  </si>
  <si>
    <t>Extintor de incêndio portátil de pó químico ABC com capacidade 2A-20B:C (6 kg), inclusive suporte de parede universal, parafuso e bucha S8, exclusive placa sinalizadora em PVC fotoluminescente e pintura de sinalização</t>
  </si>
  <si>
    <t>Ponto para seta indicativa de saída, incl. seta em acrílico, com fonte alimentadora própria que assegure um funcionamento mínimo de 1h, para quando ocorrer falta de energia elétrica na rede pública, conforme projeto</t>
  </si>
  <si>
    <t>160673</t>
  </si>
  <si>
    <t>Central de Alarme de Incêndio Endereçável, com capacidade para até 256 endereços, distribuídos em 4 laços, incluindo fornecimento, instalação e configuração completa</t>
  </si>
  <si>
    <t>160612</t>
  </si>
  <si>
    <t>Placa de sinalização de segurança do tipo ?SAÍDA DE EMERGÊNCIA? com seta vertical, conforme Código 14 - 315/158 da ABNT NBR 13434</t>
  </si>
  <si>
    <t>Placa de sinalização de segurança do tipo indicação de alarme sonóro, conforme Código 14 - 315/158 da ABNT NBR 13434</t>
  </si>
  <si>
    <t>Placa de sinalização de segurança do tipo indicação de extintor de incêndio, conforme Código 14 - 315/158 da ABNT NBR 13434</t>
  </si>
  <si>
    <t>Placa de sinalização de segurança do tipo indicação de acionador da bomba, conforme Código 14 - 315/158 da ABNT NBR 13434</t>
  </si>
  <si>
    <t>Placa de sinalização de segurança do tipo indicação de abrigo de mangueira e hidrante, conforme Código 14 - 315/158 da ABNT NBR 13434</t>
  </si>
  <si>
    <t>Placa de sinalização de segurança do tipo indicação de proibido produzir chama, conforme Código 14 - 315/158 da ABNT NBR 13434</t>
  </si>
  <si>
    <t>Placa de sinalização de segurança do tipo indicação de cuidado, risco de incêndio, conforme Código 14 - 315/158 da ABNT NBR 13434</t>
  </si>
  <si>
    <t>Placa de sinalização de segurança do tipo indicação de Perigo Inflamável, conforme Código 14 - 315/158 da ABNT NBR 13434</t>
  </si>
  <si>
    <t>Placa de sinalização de segurança do tipo indicação de Perigo não fume, conforme Código 14 - 315/158 da ABNT NBR 13434</t>
  </si>
  <si>
    <t>INSTALAÇÕES DE REDE LOGICA</t>
  </si>
  <si>
    <t>160811</t>
  </si>
  <si>
    <t>Fornecimento e instalação de Mini Rack de Parede Padrão 19" - 12 U´s x 570mm</t>
  </si>
  <si>
    <t>160812</t>
  </si>
  <si>
    <t>160813</t>
  </si>
  <si>
    <t>Fornecimento e instalação de Rack de Piso Fechado Padrão 19" - 32 U´s x 670mm</t>
  </si>
  <si>
    <t>160826</t>
  </si>
  <si>
    <t>160828</t>
  </si>
  <si>
    <t>160822</t>
  </si>
  <si>
    <t>160867</t>
  </si>
  <si>
    <t>No Break 2200VA (1980W) Senoidal, tensão de entrada: 220V e tensão de saida: 220V, Interface Port DB-9 RS-232, SmartSlot, USB, inclusive fixação em rack 19"</t>
  </si>
  <si>
    <t>INSTALAÇÃO DO SISTEMA DE CLIMATIZAÇÃO</t>
  </si>
  <si>
    <t>161001</t>
  </si>
  <si>
    <t>161002</t>
  </si>
  <si>
    <t>161003</t>
  </si>
  <si>
    <t>161004</t>
  </si>
  <si>
    <t>161010</t>
  </si>
  <si>
    <t>Emenda de tubos e conexões de cobre por processo de solda - ø 1/4" até 1/2"</t>
  </si>
  <si>
    <t>161011</t>
  </si>
  <si>
    <t>Emenda de tubos e conexões de cobre por processo de solda - ø 5/8" até 7/8"</t>
  </si>
  <si>
    <t>161015</t>
  </si>
  <si>
    <t>161016</t>
  </si>
  <si>
    <t>170129</t>
  </si>
  <si>
    <t>Bacia sanitária de louça branca com caixa acoplada e válvula de acionamento simples - Izy - Deca, Celite ou equivalente, inclusive assento plástico, tubo de ligação metal cromado com canopla, engate flexível trançado inox 1/2? x 30cm, anel de vedação e parafusos para fixação</t>
  </si>
  <si>
    <t>170124</t>
  </si>
  <si>
    <t>Lavatório suspenso de Canto - Izy - L101 - Deca ou equivalente, inclusive válvula de saída cromada 1?, sifão em metal cromado 1? x 1/2", engate flexível trançado inox 1/2? x 30cm e parafusos para fixação, exclusive torneira</t>
  </si>
  <si>
    <t>170107</t>
  </si>
  <si>
    <t>Mictório de louça branca com sifão integrado antivandalismo - M715 - Deca ou equivalente, inclusive engate flexível trançado inox 1/2? x 30cm</t>
  </si>
  <si>
    <t>170133</t>
  </si>
  <si>
    <t>Cuba de louça branca de embutir oval - L37 - Deca ou equivalente, inclusive válvula de saída cromada 1?, sifão em metálico tipo copo cromado 1? x 1/2" e engate flexível trançado inox 1/2? x 30cm, exclusive torneira</t>
  </si>
  <si>
    <t>170220</t>
  </si>
  <si>
    <t>170222</t>
  </si>
  <si>
    <t>Bancada e tanque para panelões em granito cinza andorinha, esp. 2cm, dim. 0.80x1.10m, base de concreto e apoio em alvenaria, frontão h=10cm, incl. válvula e sifão, exclusive torneira, conf. det. projeto</t>
  </si>
  <si>
    <t>170306</t>
  </si>
  <si>
    <t>Torneira de parede para tanque longa 3/4" 1158 Primor - Docol ou equivalente</t>
  </si>
  <si>
    <t>170304</t>
  </si>
  <si>
    <t>Torneira bica baixa de mesa para lavatório PressMatic Alfa - Docol, Decamatic Smart - Deca ou equivalente</t>
  </si>
  <si>
    <t>170315</t>
  </si>
  <si>
    <t>Torneira de parede de cozinha bica alta 360º Gali - Docol ou equivalente</t>
  </si>
  <si>
    <t>170546</t>
  </si>
  <si>
    <t>Tanque em Mármore Sintético Duplo 102x50cm com dois bojo 37 Litros, inclusive vávula em PVC 2.1/4? com unho, sifão sanfonado em PVC ajustável flexível multiuso 66 cm e fixação em cantoneira de ferro 1" x 1/8"</t>
  </si>
  <si>
    <t>170562</t>
  </si>
  <si>
    <t>Bebedouro elétrico de pressão para acessibilidade BDF300 PNE ? IBBL ou equivalente</t>
  </si>
  <si>
    <t>170555</t>
  </si>
  <si>
    <t>Tanque Simples em Mármore Sintético 60x50cm com um bojo 34 Litros, inclusive vávula em PVC 2.1/4? com unho, sifão sanfonado em PVC ajustável flexível multiuso 66 cm e parafusos de fixação</t>
  </si>
  <si>
    <t>170615</t>
  </si>
  <si>
    <t>Barra de apoio reta, em aço inox polido AISI 304, comprimento 70 cm, conforme requisitos de acessibilidade da NBR 9050 - fornecimento e instalação</t>
  </si>
  <si>
    <t>170603</t>
  </si>
  <si>
    <t>Barra de apoio reta, em aço inox polido AISI 304, comprimento 80 cm, conforme requisitos de acessibilidade da NBR 9050 - fornecimento e instalação</t>
  </si>
  <si>
    <t>170601</t>
  </si>
  <si>
    <t>Barra de apoio reta, em aço inox polido AISI 304, comprimento 40 cm, conforme requisitos de acessibilidade da NBR 9050 - fornecimento e instalação</t>
  </si>
  <si>
    <t>COT06</t>
  </si>
  <si>
    <t>Banqueta articulavel para banheiro NBR 9050 - Benefit - DocolMatic:Articulável</t>
  </si>
  <si>
    <t>INTERRUPTORES E TOMADAS</t>
  </si>
  <si>
    <t>Ponto padrão de tomada 2 pólos mais terra - considerando eletroduto PVC rígido de 3/4" inclusive conexões (5.0m), fio isolado PVC de 2.5mm2 (16.5m) e caixa pvc 4x2" (1 und) 10A/250V</t>
  </si>
  <si>
    <t>Ponto padrão de tomada 2 pólos mais terra - considerando eletroduto PVC rígido de 3/4" inclusive conexões (5.0m), fio isolado PVC de 2.5mm2 (16.5m) e caixa pvc 4x2" (1 und) 20A/250V</t>
  </si>
  <si>
    <t>Ponto padrão de interruptor de 2 teclas simples - considerando eletroduto PVC rígido de 3/4" inclusive conexões (3.3m), fio isolado PVC de 2.5mm2 (17.2m) e caixa PVC 4x2" (1 und)</t>
  </si>
  <si>
    <t>180205</t>
  </si>
  <si>
    <t>Interruptor bipolar paralelo 10A/250V, com placa 4x2"</t>
  </si>
  <si>
    <t>Tomada padrão brasileiro linha branca, NBR 14136 (1 módulos) - 2 polos + terra 10A/250V, inclusive suporte e placa 4x2</t>
  </si>
  <si>
    <t>Tomada padrão brasileiro linha branca, NBR 14136 (1 módulos) - 2 polos + terra 20A/250V, inclusive suporte e placa 4x2"</t>
  </si>
  <si>
    <t>9082014</t>
  </si>
  <si>
    <t>TOMADA 3P+N+T 16A - 600/690V TIPO INDUSTRIAL</t>
  </si>
  <si>
    <t>TOMADA 3P+T 16A - 600/690V TIPO INDUSTRIAL</t>
  </si>
  <si>
    <t>TOMADA 3P+N+T 32A - 600/690V TIPO INDUSTRIAL</t>
  </si>
  <si>
    <t>TOMADA 2P+T 32A - 600/690V TIPO INDUSTRIAL</t>
  </si>
  <si>
    <t>TOMADA 3P+T 32A - 600/690V TIPO INDUSTRIAL</t>
  </si>
  <si>
    <t>BOMBAS</t>
  </si>
  <si>
    <t>POSTES</t>
  </si>
  <si>
    <t>100621</t>
  </si>
  <si>
    <t>POSTE DE AÇO CÔNICO CONTÍNUO CURVO DUPLO, FLANGEADO, H=9M - FORNECIMENTO E INSTALAÇÃO. AF_04/2025</t>
  </si>
  <si>
    <t>AR REFRIGERADO</t>
  </si>
  <si>
    <t>180602</t>
  </si>
  <si>
    <t>Fornecimento e Instalação de Unidade Evaporadora e Condensadora de Ar Condicionado tipo Split Inverter Hi-Wall (Parede) de 9.000 BTU´s 220V - Ciclo Frio - Classificação A (Selo PROCEL), inclusive amortecedores vibra-stop</t>
  </si>
  <si>
    <t>180603</t>
  </si>
  <si>
    <t>Fornecimento e Instalação de Unidade Evaporadora e Condensadora de Ar Condicionado tipo Split Inverter Hi-Wall (Parede) de 12.000 BTU´s 220V - Ciclo Frio - Classificação A (Selo PROCEL), inclusive amortecedores vibra-stop</t>
  </si>
  <si>
    <t>180604</t>
  </si>
  <si>
    <t>Fornecimento e Instalação de Unidade Evaporadora e Condensadora de Ar Condicionado tipo Split Inverter Hi-Wall (Parede) de 18.000 BTU´s 220V - Ciclo Frio - Classificação A (Selo PROCEL), inclusive amortecedores vibra-stop</t>
  </si>
  <si>
    <t>180606</t>
  </si>
  <si>
    <t>Fornecimento e Instalação de Unidade Evaporadora e Condensadora de Ar Condicionado tipo Split Inverter Hi-Wall (Parede) de 24.000 BTU´s 220V - Ciclo Frio - Classificação A (Selo PROCEL), inclusive amortecedores vibra-stop</t>
  </si>
  <si>
    <t>180608</t>
  </si>
  <si>
    <t>180609</t>
  </si>
  <si>
    <t>Fornecimento e Instalação de Unidade Evaporadora e Condensadora de Ar Condicionado tipo Split Inverter Piso Teto de 48.000 BTU´s 220V Trifásico - Ciclo Quente/Frio Classificação Energética A ou B (Selo PROCEL), inclusive amortecedores vibra-stop</t>
  </si>
  <si>
    <t>180803</t>
  </si>
  <si>
    <t>Campainha tipo timbre Pial, cod. 412.77 ou equivalente</t>
  </si>
  <si>
    <t>180809</t>
  </si>
  <si>
    <t>LUMINARIAS PARA LÂMPADAS LED</t>
  </si>
  <si>
    <t>181001</t>
  </si>
  <si>
    <t>Luminaria sobrepor compl., corpo ch. aço pintada branca, refletor, aletas parabólicas alum.alta pureza e refletância inclusive 2 lâmpadas LED T8 9/10W temp. de cor 5000k c/ 60cm - Ref. CS216AL-N - AMES, 1261 - LUMAVI OU EQUIVALENTE</t>
  </si>
  <si>
    <t>181002</t>
  </si>
  <si>
    <t>Luminaria sobrepor compl., corpo ch. aço pintada branca, refletor aletas parabólicas alum.alta pureza e refletância inclusive 2 lâmpadas LED T8 20W temp. de cor 5000k bivolt c/ 1,20m - Ref. CS232AL-N - AMES, 2447 - LUMAVI OU EQUIVALENTE</t>
  </si>
  <si>
    <t>181003</t>
  </si>
  <si>
    <t>Luminaria embutir compl., corpo ch. aço pintada branca, refletor aletas parabólicas alum.alta pureza e refletância inclusive 2 lâmpadas LED T8 9W temp. de cor 5000k c/ 60cm - REF. CE216AL-N - AMES, 6024 - LUMAVI OU EQUIVALENTE</t>
  </si>
  <si>
    <t>181004</t>
  </si>
  <si>
    <t>Luminaria embutir compl., corpo ch. aço pintada branca, refletor, aletas parabólicas alum.alta pureza e refletância inclusive 2 lâmpadas LED T8 18W temp. de cor 5000k c/ 1,20m - Ref. CE232AL-N - AMES, 6025 - LUMAVI -LDEF 2X32W - LUMILUZ OU EQUIVALENTE</t>
  </si>
  <si>
    <t>181005</t>
  </si>
  <si>
    <t>Luminária sobrepor compl., corpo ch. aço pintada branca, refletor,aletas parabólicas alum.alta pureza e refletância inclusive 4 lâmpadas LED T8 9W temp. de cor 5000k bivolt c/ 60cm - CS416AL-N - AMES, 1452 - LUMAVI OU EQUIVALENTE</t>
  </si>
  <si>
    <t>181007</t>
  </si>
  <si>
    <t>Luminária embutir compl., corpo ch. aço pintada branca, refletor,aletas parabólicas alum.alta pureza e refletância nclusive 4 lâmpadas LED T8 9W temp. de cor 5000k - Ref.CE416AL-N - AMES, 6026 - LUMAVI OU EQUIVALENTE</t>
  </si>
  <si>
    <t>PERFIL COM FITA LED - FORNECIMENTO E INSTALAÇÃO. AF_09/2024</t>
  </si>
  <si>
    <t>Luminaria sobrepor compl., corpo ch. aço pintada branca, refletor, aletas parabólicas alum.alta pureza e refletância inclusive 2 lâmpadas LED T8 9/10W temp. de cor 5000k c/ 60cm - Ref. CS216AL-N - AMES, 1261 - LUMAVI OU EQUIVALENTE</t>
  </si>
  <si>
    <t>Luminaria sobrepor compl., corpo ch. aço pintada branca, refletor aletas parabólicas alum.alta pureza e refletância inclusive 2 lâmpadas LED T8 20W temp. de cor 5000k bivolt c/ 1,20m - Ref. CS232AL-N - AMES, 2447 - LUMAVI OU EQUIVALENTE</t>
  </si>
  <si>
    <t xml:space="preserve">Arandela para lâmpada led bivolt E27, luz branca - formato tradicional </t>
  </si>
  <si>
    <t>LUMINÁRIA ARANDELA TIPO MEIA LUA, DE SOBREPOR, COM 1 LÂMPADA LED DE 6 W, SEM REATOR -
FORNECIMENTO E INSTALAÇÃO. AF_09/2024</t>
  </si>
  <si>
    <t>97607</t>
  </si>
  <si>
    <t>Luminária arandela tipo tartaruga, de sobrepor, com 1 lâmpada led de 6 w, sem reator - fornecimento e instalação. af_09/2024</t>
  </si>
  <si>
    <t>Pintura em paredes e forros, aplicação manual, com três demão de tinta látex acrílico premium, referência Coral e Metalatex, inclusive uma
demão de liquido selador acrílico, referência Suvinil, Coral ou Metalatex ou equivalente</t>
  </si>
  <si>
    <t>190103</t>
  </si>
  <si>
    <t>Emassamento de paredes e forros, com duas demãos de massa acrílica premium, referência Suvinil, Coral ou Sherwin Williams ou equivalente, inclusive uma demão de liquido selador acrílico, referência Suvinil, Coral ou Metalatex ou equivalente</t>
  </si>
  <si>
    <t>190106</t>
  </si>
  <si>
    <t>190203</t>
  </si>
  <si>
    <t>Pintura sobre concreto ou blocos de concreto, aplicação manual, com três demãos de tinta látex acrílico premium, referência Suvinil, Coral e Metalatex, inclusive uma demão de liquido selador acrílico, referência Suvinil, Coral ou Metalatex ou equivalente</t>
  </si>
  <si>
    <t>190303</t>
  </si>
  <si>
    <t>Pintura de esquadrias e elementos de madeira, aplicação manual, com três demão de verniz brilhante incolor, linha Premium Copal, referência Suvinil, Eucatex, Montana ou equivalente</t>
  </si>
  <si>
    <t>190417</t>
  </si>
  <si>
    <t>SOBRE ELEMENTOS ESPECIAIS</t>
  </si>
  <si>
    <t>102513</t>
  </si>
  <si>
    <t>PINTURA DE SÍMBOLOS E TEXTOS COM TINTA ACRÍLICA, DEMARCAÇÃO COM FITA ADESIVA E APLICAÇÃO COM ROLO. AF_05/2021</t>
  </si>
  <si>
    <t>102509</t>
  </si>
  <si>
    <t>PINTURA DE FAIXA DE PEDESTRE OU ZEBRADA TINTA RETRORREFLETIVA A BASE DE RESINA ACRÍLICA COM MICROESFERAS DE VIDRO, E = 30 CM, APLICAÇÃO MANUAL. AF_05/2021</t>
  </si>
  <si>
    <t>102498</t>
  </si>
  <si>
    <t>PINTURA DE MEIO-FIO COM TINTA BRANCA A BASE DE CAL (CAIAÇÃO). AF_05/2021</t>
  </si>
  <si>
    <t>190604</t>
  </si>
  <si>
    <t>Pintura sobre piso, aplicação manual, para execução de faixa demarcatória L=8cm, com três demãos de tinta à base de epóxi, marcas de referência Suvinil, Coral ou Metalatex ou equivalente</t>
  </si>
  <si>
    <t>PINTURA DE EIXO VIÁRIO SOBRE ASFALTO COM TINTA RETRORREFLETIVA A BASE DE RESINA ACRÍLICA COM MICROESFERAS DE VIDRO, E = 10 CM, APLICAÇÃO MECÂNICA COM DEMARCADORA AUTOPROPELIDA. AF_05/2021</t>
  </si>
  <si>
    <t>200141</t>
  </si>
  <si>
    <t>Cercamento em gradil em aço galvanizado soldado e revestido em poliéster por processo de pintura eletrostática 100micra, malha 5x20cm, fio diâm. 5,00mm. Inclusive acessórios e poste. Dimensões dos painéis: 2,50x2,03m - Nylofor ou equivalente</t>
  </si>
  <si>
    <t>200715</t>
  </si>
  <si>
    <t>Mureta em alvenaria de blocos cerâmicos 10x20x20cmm, h=0.60cm, para fechamento de quadra, com pilaretes de travamento em concreto armado a cada 3m, inclusive chapisco</t>
  </si>
  <si>
    <t>0001</t>
  </si>
  <si>
    <t>VIGA BALDRAME FUNDAÇÃO MURETA</t>
  </si>
  <si>
    <t>200202</t>
  </si>
  <si>
    <t>Assentamento de meio-fio pré-moldado de concreto com dimensões de 15 x 12 x 30 x 100 cm, rejuntado com argamassa de cimento e areia no traço 1:3</t>
  </si>
  <si>
    <t>200243</t>
  </si>
  <si>
    <t>200214</t>
  </si>
  <si>
    <t>Execução de pavimentação com blocos intertravados de concreto tipo 'pavi-s', espessura de 10 cm e resistência mínima de 35 MPa, assentados sobre colchão de pó de pedra de 10 cm, com rejuntamento em areia, compactação com placa vibratória e cortes com cortadora de piso</t>
  </si>
  <si>
    <t>3R 33 15 00 00 00 00 10 13</t>
  </si>
  <si>
    <t>Pavimentação permeável em placas quadradas de concreto 50 x 50 x 6 cm, 2 MPa, sobre camada de cascalho</t>
  </si>
  <si>
    <t>200254</t>
  </si>
  <si>
    <t>Fornecimento e assentamento de ladrilho hidráulico ranhurado (tátil direcional), vermelho, dim. 20x20 cm, esp. 1.5cm, assentado com pasta de cimento colante AC-I, exclusive regularização e lastro</t>
  </si>
  <si>
    <t>95995</t>
  </si>
  <si>
    <t>EXECUÇÃO DE PAVIMENTO COM APLICAÇÃO DE CONCRETO ASFÁLTICO, CAMADA DE ROLAMENTO - EXCLUSIVE CARGA E TRANSPORTE. AF_11/2019</t>
  </si>
  <si>
    <t>200326</t>
  </si>
  <si>
    <t>Fornecimento e plantio de grama em placas tipo esmeralda, inclusive fornecimento de terra vegetal</t>
  </si>
  <si>
    <t>98511</t>
  </si>
  <si>
    <t>PLANTIO DE ÁRVORE ORNAMENTAL COM ALTURA DE MUDA MAIOR QUE 2,00 M E MENOR OU IGUAL A 4,00 M . AF_07/2024</t>
  </si>
  <si>
    <t>PLNT01</t>
  </si>
  <si>
    <t xml:space="preserve">Plantio de árvore ornamental com altura maior que 4,00 m </t>
  </si>
  <si>
    <t>98503</t>
  </si>
  <si>
    <t>PLANTIO DE GRAMA EM PAVIMENTO CONCREGRAMA. AF_07/2024</t>
  </si>
  <si>
    <t>200401</t>
  </si>
  <si>
    <t>200402</t>
  </si>
  <si>
    <t>Limpeza geral de obras (quadras, praças e jardins)</t>
  </si>
  <si>
    <t>200404</t>
  </si>
  <si>
    <t>Limpeza de pisos e revestimentos cerâmicos, utilizando detergente neutro, escovação manual e vassoura a seco</t>
  </si>
  <si>
    <t>200511</t>
  </si>
  <si>
    <t>Banco de concreto aparente com tampo de 40x40x5 cm e base de 20x20x36 cm para mesa de jogos, conforme detalhe em projeto</t>
  </si>
  <si>
    <t>200563</t>
  </si>
  <si>
    <t>Banco de concreto armado aparente com apoios de alvenaria assentada com argamassa de cimento, cal e areia, largura de 0,50m e espessura de 0,05m</t>
  </si>
  <si>
    <t>200512</t>
  </si>
  <si>
    <t>Mesa de concreto aparente com tampo de 60x60x5 cm, base de 30x30x75 cm e tabuleiro 40x40cm embutido no concreto, feito com pastilhas de mármore branco e granito preto de 5x5x2cm conf. projeto</t>
  </si>
  <si>
    <t>200573</t>
  </si>
  <si>
    <t>Bicicletário em tubo de ferro galvanizado 1" e ferro liso 1/2", inclusive pintura, conforme projeto padrão SEDU</t>
  </si>
  <si>
    <t>200576</t>
  </si>
  <si>
    <t>SERVIÇOS COMPLEMENTARES</t>
  </si>
  <si>
    <t>103307</t>
  </si>
  <si>
    <t>INSTALAÇÃO DE LIXEIRA METÁLICA DUPLA, CAPACIDADE DE 60 L, EM TUBO DE AÇO CARBONO E CESTOS EM CHAPA DE AÇO COM PINTURA ELETROSTÁTICA, SOBRE PISO DE CONCRETO EXISTENTE. AF_11/2021</t>
  </si>
  <si>
    <t>ORSE</t>
  </si>
  <si>
    <t>Placa de identificação em acrílico branco, 15 x 25 cm, esp 3mm, gravações à laser preto. Fixado em tubo de alumínio quadrado</t>
  </si>
  <si>
    <t>Placa de inauguração em alumínio composto preto, 60x60cm, esp=4mm, (acm constit. De 02 chapas sólidas de alumínio c/ núcleo central em polietileno), c/ pintura coilcoating pvdf kynar 500, texto gravado a laser, acab em verniz autom., mold em alumínio</t>
  </si>
  <si>
    <t>Placa de inauguração em alumínio composto preto, 60x60cm, esp=4mm, (ACM constit. de 02 chapas sólidas de alumínio c/ núcleo central em polietileno), c/ pintura coilcoating PVDF KYNAR 500, texto gravado a laser, acab em verniz autom., mold em alumínio</t>
  </si>
  <si>
    <t>ITENS DE SERVIÇOS AUXILIARES</t>
  </si>
  <si>
    <t>010815</t>
  </si>
  <si>
    <t>Técnico Segundo Grau Nivel "B"</t>
  </si>
  <si>
    <t>SERVIÇOS DIVERSOS ESPECÍFICOS (COM BDI DIFERENCIADO 15,57%)</t>
  </si>
  <si>
    <t>SISTEMAS DE TRATAMENTO DE ÁGUAS RESIDUÁRIAS</t>
  </si>
  <si>
    <t>COT01</t>
  </si>
  <si>
    <t>Sistema de estação de tratamento de esgotamento sanitário, sistema de lodos ativados, inclusive instalação e teste de conformidade, de acordo com o memorial de projeto.</t>
  </si>
  <si>
    <t>SISTEMA DE ALARME E CFTV</t>
  </si>
  <si>
    <t>COT02</t>
  </si>
  <si>
    <t>Instalação de sistema de alarme e cftv, com fornecimento de mão de obra e material</t>
  </si>
  <si>
    <t>ELEVADORES E PLATAFORMAS ELEVATÓRIAS</t>
  </si>
  <si>
    <t>SUBESTAÇÃO</t>
  </si>
  <si>
    <t xml:space="preserve">Subestação de média tensão, com cabine primária blindada tipo compacta modelo com capacidade de tensão mínima de 17,5kv ,  com transformadores - completo inclusive conexões, instalação, teste de conformidade e garantia, de acordo com os projetos.  </t>
  </si>
  <si>
    <t>SISTEMA FOTOVOLTAICO</t>
  </si>
  <si>
    <t>Sistema fotovoltaico completo sobre telhados e estrutura metálica tipo carport, fornecimento e instalação, com armação, placas, inversor e conexões,  inclusive com teste de conformidade e garantia,  selo inmetro, homologado pela concessionária, de acordo com os projetos.</t>
  </si>
  <si>
    <t>CASTELO D'ÁGUA</t>
  </si>
  <si>
    <t>COT07</t>
  </si>
  <si>
    <t>Castelo D'água conforme projeto</t>
  </si>
  <si>
    <t>POÇO ARTESIANO</t>
  </si>
  <si>
    <t>COT08</t>
  </si>
  <si>
    <t>Poço Artesiano</t>
  </si>
  <si>
    <t xml:space="preserve">MOBILIA E EQUIPAMENTOS </t>
  </si>
  <si>
    <t>COT002</t>
  </si>
  <si>
    <t>Freezer horizontal / integrado duplo</t>
  </si>
  <si>
    <t>COT0026</t>
  </si>
  <si>
    <t xml:space="preserve">Fogão industrial inox 8 bocas </t>
  </si>
  <si>
    <t>COT0028</t>
  </si>
  <si>
    <t>Geladeira comercial inox</t>
  </si>
  <si>
    <t>COT04</t>
  </si>
  <si>
    <t>COT03</t>
  </si>
  <si>
    <t>Microondas</t>
  </si>
  <si>
    <t>COT0014</t>
  </si>
  <si>
    <t>Cadeira aria linha 47 giratória</t>
  </si>
  <si>
    <t>COT0041</t>
  </si>
  <si>
    <t>Mesa para professor com gaveteiros</t>
  </si>
  <si>
    <t>COT0022</t>
  </si>
  <si>
    <t>Kit computador de mesa</t>
  </si>
  <si>
    <t>COT0007</t>
  </si>
  <si>
    <t>Armário baixo com estrtura de madeira, com pés de alumínio.</t>
  </si>
  <si>
    <t>COT0036</t>
  </si>
  <si>
    <t>Mesa de escritório com gavetas, de madeira</t>
  </si>
  <si>
    <t>COT0024</t>
  </si>
  <si>
    <t xml:space="preserve">Estante / escaninho de madeira  </t>
  </si>
  <si>
    <t>COT0037</t>
  </si>
  <si>
    <t xml:space="preserve">Mesa de reunião em madeira  </t>
  </si>
  <si>
    <t>COT0047</t>
  </si>
  <si>
    <t>Sofá</t>
  </si>
  <si>
    <t>COT0033</t>
  </si>
  <si>
    <t>Mesa 8 lugares</t>
  </si>
  <si>
    <t>COT0030</t>
  </si>
  <si>
    <t>Lousa digital interativa</t>
  </si>
  <si>
    <t>COT0010</t>
  </si>
  <si>
    <t>Poltronas cadeira para auditório</t>
  </si>
  <si>
    <t>COT0013</t>
  </si>
  <si>
    <t>Cadeira aria linha 47 fixa / silla de línea fija 47 aria / fixed line 47 aria chair.</t>
  </si>
  <si>
    <t>COT0038</t>
  </si>
  <si>
    <t>Mesa escolar individual</t>
  </si>
  <si>
    <t>COT0021</t>
  </si>
  <si>
    <t>Catraca com reconhecimento facial</t>
  </si>
  <si>
    <t>COT55</t>
  </si>
  <si>
    <t>Banqueta</t>
  </si>
  <si>
    <t>COT56</t>
  </si>
  <si>
    <t>Bancada</t>
  </si>
  <si>
    <t>COT57</t>
  </si>
  <si>
    <t>Cadeira paso</t>
  </si>
  <si>
    <t>COT58</t>
  </si>
  <si>
    <t>Armário para microondas</t>
  </si>
  <si>
    <t>COT92</t>
  </si>
  <si>
    <t>Mesa redonda</t>
  </si>
  <si>
    <t>01.01</t>
  </si>
  <si>
    <t>01.01.01</t>
  </si>
  <si>
    <t>01.01.02</t>
  </si>
  <si>
    <t>01.01.03</t>
  </si>
  <si>
    <t>01.01.04</t>
  </si>
  <si>
    <t>01.01.05</t>
  </si>
  <si>
    <t>01.01.06</t>
  </si>
  <si>
    <t>01.01.07</t>
  </si>
  <si>
    <t>01.01.08</t>
  </si>
  <si>
    <t>01.01.09</t>
  </si>
  <si>
    <t>01.01.10</t>
  </si>
  <si>
    <t>01.01.11</t>
  </si>
  <si>
    <t>01.01.12</t>
  </si>
  <si>
    <t>01.01.13</t>
  </si>
  <si>
    <t>01.01.14</t>
  </si>
  <si>
    <t>01.01.15</t>
  </si>
  <si>
    <t>01.01.16</t>
  </si>
  <si>
    <t>01.01.17</t>
  </si>
  <si>
    <t>01.01.18</t>
  </si>
  <si>
    <t>01.01.19</t>
  </si>
  <si>
    <t>01.01.20</t>
  </si>
  <si>
    <t>01.01.21</t>
  </si>
  <si>
    <t>01.02</t>
  </si>
  <si>
    <t>01.02.01</t>
  </si>
  <si>
    <t>01.03</t>
  </si>
  <si>
    <t>01.03.01</t>
  </si>
  <si>
    <t>01.04</t>
  </si>
  <si>
    <t>01.04.01</t>
  </si>
  <si>
    <t>02.01</t>
  </si>
  <si>
    <t>02.01.01</t>
  </si>
  <si>
    <t>02.01.02</t>
  </si>
  <si>
    <t>02.01.03</t>
  </si>
  <si>
    <t>02.01.04</t>
  </si>
  <si>
    <t>02.01.05</t>
  </si>
  <si>
    <t>02.02</t>
  </si>
  <si>
    <t>02.03</t>
  </si>
  <si>
    <t>02.02.01</t>
  </si>
  <si>
    <t>02.02.02</t>
  </si>
  <si>
    <t>02.02.03</t>
  </si>
  <si>
    <t>02.02.04</t>
  </si>
  <si>
    <t>02.02.05</t>
  </si>
  <si>
    <t>02.02.06</t>
  </si>
  <si>
    <t>02.02.07</t>
  </si>
  <si>
    <t>02.02.08</t>
  </si>
  <si>
    <t>02.02.09</t>
  </si>
  <si>
    <t>02.02.10</t>
  </si>
  <si>
    <t>03.01</t>
  </si>
  <si>
    <t>03.01.01</t>
  </si>
  <si>
    <t>03.01.02</t>
  </si>
  <si>
    <t>03.01.03</t>
  </si>
  <si>
    <t>03.02</t>
  </si>
  <si>
    <t>03.02.01</t>
  </si>
  <si>
    <t>03.03</t>
  </si>
  <si>
    <t>03.03.01</t>
  </si>
  <si>
    <t>04.01</t>
  </si>
  <si>
    <t>04.01.01</t>
  </si>
  <si>
    <t>04.01.02</t>
  </si>
  <si>
    <t>04.01.03</t>
  </si>
  <si>
    <t>04.01.04</t>
  </si>
  <si>
    <t>04.01.05</t>
  </si>
  <si>
    <t>04.01.06</t>
  </si>
  <si>
    <t>04.02</t>
  </si>
  <si>
    <t>04.02.01</t>
  </si>
  <si>
    <t>04.02.02</t>
  </si>
  <si>
    <t>04.02.03</t>
  </si>
  <si>
    <t>04.02.04</t>
  </si>
  <si>
    <t>04.03</t>
  </si>
  <si>
    <t>04.03.01</t>
  </si>
  <si>
    <t>04.04</t>
  </si>
  <si>
    <t>04.05</t>
  </si>
  <si>
    <t>04.05.01</t>
  </si>
  <si>
    <t>04.06</t>
  </si>
  <si>
    <t>04.07</t>
  </si>
  <si>
    <t xml:space="preserve">05.01 </t>
  </si>
  <si>
    <t xml:space="preserve">05.02 </t>
  </si>
  <si>
    <t>05.02.01</t>
  </si>
  <si>
    <t>05.02.02</t>
  </si>
  <si>
    <t>05.02.03</t>
  </si>
  <si>
    <t>05.03</t>
  </si>
  <si>
    <t>05.03.01</t>
  </si>
  <si>
    <t>05.04</t>
  </si>
  <si>
    <t>05.05</t>
  </si>
  <si>
    <t>05.05.01</t>
  </si>
  <si>
    <t xml:space="preserve">06.01 </t>
  </si>
  <si>
    <t>06.01.01</t>
  </si>
  <si>
    <t>06.01.02</t>
  </si>
  <si>
    <t>06.01.03</t>
  </si>
  <si>
    <t>06.02</t>
  </si>
  <si>
    <t>06.02.01</t>
  </si>
  <si>
    <t>06.03</t>
  </si>
  <si>
    <t>06.03.01</t>
  </si>
  <si>
    <t>06.03.02</t>
  </si>
  <si>
    <t>06.03.03</t>
  </si>
  <si>
    <t>06.03.04</t>
  </si>
  <si>
    <t>06.04</t>
  </si>
  <si>
    <t xml:space="preserve">06.05 </t>
  </si>
  <si>
    <t xml:space="preserve">06.06 </t>
  </si>
  <si>
    <t xml:space="preserve">06.07 </t>
  </si>
  <si>
    <t xml:space="preserve">06.08 </t>
  </si>
  <si>
    <t xml:space="preserve">06.09 </t>
  </si>
  <si>
    <t>06.09.01</t>
  </si>
  <si>
    <t>06.09.02</t>
  </si>
  <si>
    <t>07.01</t>
  </si>
  <si>
    <t>07.01.01</t>
  </si>
  <si>
    <t>07.01.03</t>
  </si>
  <si>
    <t>07.02</t>
  </si>
  <si>
    <t>07.02.01</t>
  </si>
  <si>
    <t>07.02.02</t>
  </si>
  <si>
    <t>07.02.03</t>
  </si>
  <si>
    <t>07.02.04</t>
  </si>
  <si>
    <t>07.02.05</t>
  </si>
  <si>
    <t>07.02.06</t>
  </si>
  <si>
    <t>07.02.07</t>
  </si>
  <si>
    <t>07.03</t>
  </si>
  <si>
    <t>08.01</t>
  </si>
  <si>
    <t>08.01.01</t>
  </si>
  <si>
    <t>08.02</t>
  </si>
  <si>
    <t>08.01.02</t>
  </si>
  <si>
    <t>09.01</t>
  </si>
  <si>
    <t>09.01.01</t>
  </si>
  <si>
    <t>09.01.02</t>
  </si>
  <si>
    <t>09.02</t>
  </si>
  <si>
    <t>09.02.01</t>
  </si>
  <si>
    <t>09.02.02</t>
  </si>
  <si>
    <t>09.02.03</t>
  </si>
  <si>
    <t>09.03</t>
  </si>
  <si>
    <t>09.03.01</t>
  </si>
  <si>
    <t>09.03.02</t>
  </si>
  <si>
    <t>09.04</t>
  </si>
  <si>
    <t>09.05</t>
  </si>
  <si>
    <t>09.05.01</t>
  </si>
  <si>
    <t>10.01</t>
  </si>
  <si>
    <t>10.01.01</t>
  </si>
  <si>
    <t>10.02</t>
  </si>
  <si>
    <t>10.02.01</t>
  </si>
  <si>
    <t>10.02.02</t>
  </si>
  <si>
    <t>10.02.03</t>
  </si>
  <si>
    <t>11.01</t>
  </si>
  <si>
    <t>11.01.01</t>
  </si>
  <si>
    <t>11.02</t>
  </si>
  <si>
    <t>11.02.02</t>
  </si>
  <si>
    <t>11.02.03</t>
  </si>
  <si>
    <t>11.03</t>
  </si>
  <si>
    <t>11.03.01</t>
  </si>
  <si>
    <t>12.01</t>
  </si>
  <si>
    <t>12.01.01</t>
  </si>
  <si>
    <t>12.02</t>
  </si>
  <si>
    <t>12.02.01</t>
  </si>
  <si>
    <t>12.02.02</t>
  </si>
  <si>
    <t>12.02.03</t>
  </si>
  <si>
    <t>12.03</t>
  </si>
  <si>
    <t>12.03.01</t>
  </si>
  <si>
    <t>12.03.02</t>
  </si>
  <si>
    <t>12.04</t>
  </si>
  <si>
    <t>12.04.01</t>
  </si>
  <si>
    <t>13.01</t>
  </si>
  <si>
    <t>13.01.01</t>
  </si>
  <si>
    <t>13.01.02</t>
  </si>
  <si>
    <t>13.02</t>
  </si>
  <si>
    <t>13.02.01</t>
  </si>
  <si>
    <t>13.02.02</t>
  </si>
  <si>
    <t>13.02.03</t>
  </si>
  <si>
    <t>13.02.04</t>
  </si>
  <si>
    <t>13.03</t>
  </si>
  <si>
    <t>13.03.01</t>
  </si>
  <si>
    <t>13.03.02</t>
  </si>
  <si>
    <t>13.03.03</t>
  </si>
  <si>
    <t>13.03.04</t>
  </si>
  <si>
    <t>13.03.05</t>
  </si>
  <si>
    <t>13.03.06</t>
  </si>
  <si>
    <t>13.04</t>
  </si>
  <si>
    <t>14.01</t>
  </si>
  <si>
    <t>14.01.01</t>
  </si>
  <si>
    <t>14.01.03</t>
  </si>
  <si>
    <t>14.02</t>
  </si>
  <si>
    <t>14.02.01</t>
  </si>
  <si>
    <t>14.02.02</t>
  </si>
  <si>
    <t>14.02.03</t>
  </si>
  <si>
    <t>14.02.04</t>
  </si>
  <si>
    <t>14.02.05</t>
  </si>
  <si>
    <t>14.02.06</t>
  </si>
  <si>
    <t>14.02.07</t>
  </si>
  <si>
    <t>14.02.08</t>
  </si>
  <si>
    <t>14.03</t>
  </si>
  <si>
    <t>14.03.01</t>
  </si>
  <si>
    <t>14.03.02</t>
  </si>
  <si>
    <t>14.03.03</t>
  </si>
  <si>
    <t>14.03.04</t>
  </si>
  <si>
    <t>14.04</t>
  </si>
  <si>
    <t>14.04.01</t>
  </si>
  <si>
    <t>14.04.02</t>
  </si>
  <si>
    <t>14.04.03</t>
  </si>
  <si>
    <t>14.04.04</t>
  </si>
  <si>
    <t>14.04.05</t>
  </si>
  <si>
    <t>14.04.06</t>
  </si>
  <si>
    <t>14.05</t>
  </si>
  <si>
    <t>14.05.01</t>
  </si>
  <si>
    <t>14.05.02</t>
  </si>
  <si>
    <t>14.05.03</t>
  </si>
  <si>
    <t>14.05.04</t>
  </si>
  <si>
    <t>14.06</t>
  </si>
  <si>
    <t>14.06.01</t>
  </si>
  <si>
    <t>14.06.02</t>
  </si>
  <si>
    <t>14.06.03</t>
  </si>
  <si>
    <t>14.06.04</t>
  </si>
  <si>
    <t>14.07</t>
  </si>
  <si>
    <t>14.07.01</t>
  </si>
  <si>
    <t>14.07.02</t>
  </si>
  <si>
    <t>14.08</t>
  </si>
  <si>
    <t>14.08.01</t>
  </si>
  <si>
    <t>14.08.03</t>
  </si>
  <si>
    <t>14.08.04</t>
  </si>
  <si>
    <t>14.08.05</t>
  </si>
  <si>
    <t>14.08.06</t>
  </si>
  <si>
    <t>14.08.07</t>
  </si>
  <si>
    <t>14.08.08</t>
  </si>
  <si>
    <t>14.08.09</t>
  </si>
  <si>
    <t>14.08.10</t>
  </si>
  <si>
    <t>14.08.11</t>
  </si>
  <si>
    <t>14.08.12</t>
  </si>
  <si>
    <t>14.08.13</t>
  </si>
  <si>
    <t>14.08.14</t>
  </si>
  <si>
    <t>14.08.15</t>
  </si>
  <si>
    <t>14.09</t>
  </si>
  <si>
    <t>14.05.05</t>
  </si>
  <si>
    <t>14.09.02</t>
  </si>
  <si>
    <t>14.09.04</t>
  </si>
  <si>
    <t>15.01</t>
  </si>
  <si>
    <t>15.01.01</t>
  </si>
  <si>
    <t>15.01.02</t>
  </si>
  <si>
    <t>15.01.03</t>
  </si>
  <si>
    <t>15.01.04</t>
  </si>
  <si>
    <t>15.01.05</t>
  </si>
  <si>
    <t>15.01.06</t>
  </si>
  <si>
    <t>15.01.07</t>
  </si>
  <si>
    <t>15.01.08</t>
  </si>
  <si>
    <t>15.01.09</t>
  </si>
  <si>
    <t>15.01.10</t>
  </si>
  <si>
    <t>15.01.11</t>
  </si>
  <si>
    <t>15.01.12</t>
  </si>
  <si>
    <t>15.01.13</t>
  </si>
  <si>
    <t>15.01.14</t>
  </si>
  <si>
    <t>15.01.15</t>
  </si>
  <si>
    <t>15.01.16</t>
  </si>
  <si>
    <t>15.01.17</t>
  </si>
  <si>
    <t>15.01.18</t>
  </si>
  <si>
    <t>15.01.19</t>
  </si>
  <si>
    <t>15.01.20</t>
  </si>
  <si>
    <t>15.01.21</t>
  </si>
  <si>
    <t>15.01.22</t>
  </si>
  <si>
    <t>15.01.23</t>
  </si>
  <si>
    <t>15.01.24</t>
  </si>
  <si>
    <t>15.01.25</t>
  </si>
  <si>
    <t>15.01.26</t>
  </si>
  <si>
    <t>15.01.27</t>
  </si>
  <si>
    <t>15.01.28</t>
  </si>
  <si>
    <t>15.01.29</t>
  </si>
  <si>
    <t>15.01.30</t>
  </si>
  <si>
    <t>15.02</t>
  </si>
  <si>
    <t>15.02.01</t>
  </si>
  <si>
    <t>15.02.02</t>
  </si>
  <si>
    <t>15.02.03</t>
  </si>
  <si>
    <t>15.02.04</t>
  </si>
  <si>
    <t>15.02.05</t>
  </si>
  <si>
    <t>15.02.06</t>
  </si>
  <si>
    <t>15.02.10</t>
  </si>
  <si>
    <t>15.02.11</t>
  </si>
  <si>
    <t>15.02.12</t>
  </si>
  <si>
    <t>15.02.13</t>
  </si>
  <si>
    <t>15.02.14</t>
  </si>
  <si>
    <t>15.02.15</t>
  </si>
  <si>
    <t>15.02.16</t>
  </si>
  <si>
    <t>15.02.17</t>
  </si>
  <si>
    <t>15.02.18</t>
  </si>
  <si>
    <t>15.02.19</t>
  </si>
  <si>
    <t>15.02.20</t>
  </si>
  <si>
    <t>15.02.21</t>
  </si>
  <si>
    <t>15.02.22</t>
  </si>
  <si>
    <t>15.02.23</t>
  </si>
  <si>
    <t>15.02.24</t>
  </si>
  <si>
    <t>15.02.25</t>
  </si>
  <si>
    <t>15.02.26</t>
  </si>
  <si>
    <t>15.02.27</t>
  </si>
  <si>
    <t>15.02.29</t>
  </si>
  <si>
    <t>15.02.30</t>
  </si>
  <si>
    <t>15.02.31</t>
  </si>
  <si>
    <t>15.02.32</t>
  </si>
  <si>
    <t>15.02.33</t>
  </si>
  <si>
    <t>15.02.34</t>
  </si>
  <si>
    <t>15.02.35</t>
  </si>
  <si>
    <t>15.02.36</t>
  </si>
  <si>
    <t>15.02.37</t>
  </si>
  <si>
    <t>15.02.38</t>
  </si>
  <si>
    <t>15.02.39</t>
  </si>
  <si>
    <t>15.02.40</t>
  </si>
  <si>
    <t>15.02.41</t>
  </si>
  <si>
    <t>15.02.42</t>
  </si>
  <si>
    <t>15.02.43</t>
  </si>
  <si>
    <t>15.02.44</t>
  </si>
  <si>
    <t>15.02.45</t>
  </si>
  <si>
    <t>15.02.46</t>
  </si>
  <si>
    <t>15.02.47</t>
  </si>
  <si>
    <t>15.02.48</t>
  </si>
  <si>
    <t>15.02.49</t>
  </si>
  <si>
    <t>15.02.50</t>
  </si>
  <si>
    <t>15.02.51</t>
  </si>
  <si>
    <t>15.02.52</t>
  </si>
  <si>
    <t>15.02.53</t>
  </si>
  <si>
    <t>15.02.54</t>
  </si>
  <si>
    <t>15.02.55</t>
  </si>
  <si>
    <t>15.02.56</t>
  </si>
  <si>
    <t>15.02.57</t>
  </si>
  <si>
    <t>15.02.58</t>
  </si>
  <si>
    <t>15.02.59</t>
  </si>
  <si>
    <t>15.02.60</t>
  </si>
  <si>
    <t>15.02.61</t>
  </si>
  <si>
    <t>15.02.62</t>
  </si>
  <si>
    <t>15.02.63</t>
  </si>
  <si>
    <t>15.02.64</t>
  </si>
  <si>
    <t>15.02.65</t>
  </si>
  <si>
    <t>15.02.66</t>
  </si>
  <si>
    <t>15.02.67</t>
  </si>
  <si>
    <t>15.02.68</t>
  </si>
  <si>
    <t>15.02.69</t>
  </si>
  <si>
    <t>15.02.70</t>
  </si>
  <si>
    <t>15.02.71</t>
  </si>
  <si>
    <t>15.02.72</t>
  </si>
  <si>
    <t>15.02.73</t>
  </si>
  <si>
    <t>15.02.74</t>
  </si>
  <si>
    <t>15.02.75</t>
  </si>
  <si>
    <t>15.02.76</t>
  </si>
  <si>
    <t>15.02.77</t>
  </si>
  <si>
    <t>15.02.78</t>
  </si>
  <si>
    <t>15.02.79</t>
  </si>
  <si>
    <t>15.02.80</t>
  </si>
  <si>
    <t>15.02.81</t>
  </si>
  <si>
    <t>15.02.82</t>
  </si>
  <si>
    <t>15.02.83</t>
  </si>
  <si>
    <t>15.02.84</t>
  </si>
  <si>
    <t>15.02.85</t>
  </si>
  <si>
    <t>15.02.86</t>
  </si>
  <si>
    <t>15.02.87</t>
  </si>
  <si>
    <t>15.02.88</t>
  </si>
  <si>
    <t>15.02.89</t>
  </si>
  <si>
    <t>15.02.90</t>
  </si>
  <si>
    <t>15.03</t>
  </si>
  <si>
    <t>15.04</t>
  </si>
  <si>
    <t>15.04.01</t>
  </si>
  <si>
    <t>15.04.02</t>
  </si>
  <si>
    <t>15.04.03</t>
  </si>
  <si>
    <t>15.04.04</t>
  </si>
  <si>
    <t>15.04.05</t>
  </si>
  <si>
    <t>15.04.06</t>
  </si>
  <si>
    <t>15.04.07</t>
  </si>
  <si>
    <t>15.04.08</t>
  </si>
  <si>
    <t>15.05</t>
  </si>
  <si>
    <t>15.05.01</t>
  </si>
  <si>
    <t>15.05.02</t>
  </si>
  <si>
    <t>16.01</t>
  </si>
  <si>
    <t>16.01.01</t>
  </si>
  <si>
    <t>16.01.02</t>
  </si>
  <si>
    <t>16.01.03</t>
  </si>
  <si>
    <t>16.01.04</t>
  </si>
  <si>
    <t>16.01.05</t>
  </si>
  <si>
    <t>16.01.06</t>
  </si>
  <si>
    <t>16.01.07</t>
  </si>
  <si>
    <t>16.01.08</t>
  </si>
  <si>
    <t>16.01.09</t>
  </si>
  <si>
    <t>16.01.10</t>
  </si>
  <si>
    <t>16.01.11</t>
  </si>
  <si>
    <t>16.01.12</t>
  </si>
  <si>
    <t>16.01.13</t>
  </si>
  <si>
    <t>16.02</t>
  </si>
  <si>
    <t>16.02.01</t>
  </si>
  <si>
    <t>16.02.02</t>
  </si>
  <si>
    <t>16.02.03</t>
  </si>
  <si>
    <t>16.02.04</t>
  </si>
  <si>
    <t>16.02.06</t>
  </si>
  <si>
    <t>16.02.07</t>
  </si>
  <si>
    <t>16.02.08</t>
  </si>
  <si>
    <t>16.02.09</t>
  </si>
  <si>
    <t>16.02.10</t>
  </si>
  <si>
    <t>16.02.11</t>
  </si>
  <si>
    <t>16.02.12</t>
  </si>
  <si>
    <t>16.02.13</t>
  </si>
  <si>
    <t>16.03</t>
  </si>
  <si>
    <t>16.03.01</t>
  </si>
  <si>
    <t>16.03.02</t>
  </si>
  <si>
    <t>16.03.03</t>
  </si>
  <si>
    <t>16.03.04</t>
  </si>
  <si>
    <t>16.03.05</t>
  </si>
  <si>
    <t>16.03.07</t>
  </si>
  <si>
    <t>16.03.08</t>
  </si>
  <si>
    <t>16.03.09</t>
  </si>
  <si>
    <t>16.03.10</t>
  </si>
  <si>
    <t>16.03.11</t>
  </si>
  <si>
    <t>16.03.12</t>
  </si>
  <si>
    <t>16.03.13</t>
  </si>
  <si>
    <t>16.03.14</t>
  </si>
  <si>
    <t>16.03.15</t>
  </si>
  <si>
    <t>16.03.16</t>
  </si>
  <si>
    <t>16.03.17</t>
  </si>
  <si>
    <t>16.03.18</t>
  </si>
  <si>
    <t>16.03.19</t>
  </si>
  <si>
    <t>16.03.20</t>
  </si>
  <si>
    <t>16.03.21</t>
  </si>
  <si>
    <t>16.03.22</t>
  </si>
  <si>
    <t>16.03.23</t>
  </si>
  <si>
    <t>16.03.24</t>
  </si>
  <si>
    <t>16.03.25</t>
  </si>
  <si>
    <t>16.03.26</t>
  </si>
  <si>
    <t>16.03.27</t>
  </si>
  <si>
    <t>16.03.28</t>
  </si>
  <si>
    <t>16.03.29</t>
  </si>
  <si>
    <t>16.03.30</t>
  </si>
  <si>
    <t>16.03.31</t>
  </si>
  <si>
    <t>16.03.33</t>
  </si>
  <si>
    <t>16.03.34</t>
  </si>
  <si>
    <t>16.03.35</t>
  </si>
  <si>
    <t>16.03.36</t>
  </si>
  <si>
    <t>16.03.37</t>
  </si>
  <si>
    <t>16.03.38</t>
  </si>
  <si>
    <t>16.03.39</t>
  </si>
  <si>
    <t>16.03.40</t>
  </si>
  <si>
    <t>16.03.41</t>
  </si>
  <si>
    <t>16.03.42</t>
  </si>
  <si>
    <t>16.03.43</t>
  </si>
  <si>
    <t>16.03.44</t>
  </si>
  <si>
    <t>16.03.45</t>
  </si>
  <si>
    <t>16.03.46</t>
  </si>
  <si>
    <t>16.03.47</t>
  </si>
  <si>
    <t>16.03.48</t>
  </si>
  <si>
    <t>16.03.49</t>
  </si>
  <si>
    <t>16.03.50</t>
  </si>
  <si>
    <t>16.03.51</t>
  </si>
  <si>
    <t>16.03.52</t>
  </si>
  <si>
    <t>16.04</t>
  </si>
  <si>
    <t>16.04.01</t>
  </si>
  <si>
    <t>16.04.02</t>
  </si>
  <si>
    <t>16.04.03</t>
  </si>
  <si>
    <t>16.04.04</t>
  </si>
  <si>
    <t>16.04.05</t>
  </si>
  <si>
    <t>16.04.06</t>
  </si>
  <si>
    <t>16.04.07</t>
  </si>
  <si>
    <t>16.04.08</t>
  </si>
  <si>
    <t>16.04.09</t>
  </si>
  <si>
    <t>16.05</t>
  </si>
  <si>
    <t>16.05.01</t>
  </si>
  <si>
    <t>16.05.02</t>
  </si>
  <si>
    <t>16.05.03</t>
  </si>
  <si>
    <t>16.05.04</t>
  </si>
  <si>
    <t>16.05.05</t>
  </si>
  <si>
    <t>16.05.06</t>
  </si>
  <si>
    <t>16.05.07</t>
  </si>
  <si>
    <t>16.05.08</t>
  </si>
  <si>
    <t>16.05.09</t>
  </si>
  <si>
    <t>17.01</t>
  </si>
  <si>
    <t>17.01.01</t>
  </si>
  <si>
    <t>17.01.02</t>
  </si>
  <si>
    <t>17.01.03</t>
  </si>
  <si>
    <t>17.01.04</t>
  </si>
  <si>
    <t>17.02</t>
  </si>
  <si>
    <t>17.02.01</t>
  </si>
  <si>
    <t>17.02.02</t>
  </si>
  <si>
    <t>17.03</t>
  </si>
  <si>
    <t>17.02.03</t>
  </si>
  <si>
    <t>17.04</t>
  </si>
  <si>
    <t>17.04.01</t>
  </si>
  <si>
    <t>17.04.02</t>
  </si>
  <si>
    <t>17.04.03</t>
  </si>
  <si>
    <t>17.05</t>
  </si>
  <si>
    <t>17.05.01</t>
  </si>
  <si>
    <t>17.05.02</t>
  </si>
  <si>
    <t>17.05.03</t>
  </si>
  <si>
    <t>17.05.04</t>
  </si>
  <si>
    <t>18.01</t>
  </si>
  <si>
    <t>18.01.01</t>
  </si>
  <si>
    <t>18.01.02</t>
  </si>
  <si>
    <t>18.01.03</t>
  </si>
  <si>
    <t>18.01.04</t>
  </si>
  <si>
    <t>18.01.05</t>
  </si>
  <si>
    <t>18.01.06</t>
  </si>
  <si>
    <t>18.01.07</t>
  </si>
  <si>
    <t>18.01.08</t>
  </si>
  <si>
    <t>18.01.09</t>
  </si>
  <si>
    <t>18.01.10</t>
  </si>
  <si>
    <t>18.01.11</t>
  </si>
  <si>
    <t>18.02</t>
  </si>
  <si>
    <t>18.02.01</t>
  </si>
  <si>
    <t>18.03</t>
  </si>
  <si>
    <t>18.03.01</t>
  </si>
  <si>
    <t>18.04</t>
  </si>
  <si>
    <t>18.04.01</t>
  </si>
  <si>
    <t>18.04.02</t>
  </si>
  <si>
    <t>18.04.03</t>
  </si>
  <si>
    <t>18.04.04</t>
  </si>
  <si>
    <t>18.04.05</t>
  </si>
  <si>
    <t>18.04.06</t>
  </si>
  <si>
    <t>18.05</t>
  </si>
  <si>
    <t>18.05.01</t>
  </si>
  <si>
    <t>18.05.02</t>
  </si>
  <si>
    <t>18.06</t>
  </si>
  <si>
    <t>18.06.01</t>
  </si>
  <si>
    <t>18.06.02</t>
  </si>
  <si>
    <t>18.06.03</t>
  </si>
  <si>
    <t>18.06.04</t>
  </si>
  <si>
    <t>18.06.05</t>
  </si>
  <si>
    <t>18.06.06</t>
  </si>
  <si>
    <t>18.06.07</t>
  </si>
  <si>
    <t>18.06.08</t>
  </si>
  <si>
    <t>18.06.09</t>
  </si>
  <si>
    <t>18.06.10</t>
  </si>
  <si>
    <t>18.06.11</t>
  </si>
  <si>
    <t>18.06.12</t>
  </si>
  <si>
    <t>19.01</t>
  </si>
  <si>
    <t>19.01.01</t>
  </si>
  <si>
    <t>19.01.02</t>
  </si>
  <si>
    <t>19.02</t>
  </si>
  <si>
    <t>19.02.01</t>
  </si>
  <si>
    <t>19.02.02</t>
  </si>
  <si>
    <t>19.02.03</t>
  </si>
  <si>
    <t>19.03</t>
  </si>
  <si>
    <t>19.03.01</t>
  </si>
  <si>
    <t>19.03.02</t>
  </si>
  <si>
    <t>19.04</t>
  </si>
  <si>
    <t>19.04.01</t>
  </si>
  <si>
    <t>19.05</t>
  </si>
  <si>
    <t>19.06</t>
  </si>
  <si>
    <t>19.06.01</t>
  </si>
  <si>
    <t>19.06.02</t>
  </si>
  <si>
    <t>19.06.03</t>
  </si>
  <si>
    <t>19.06.04</t>
  </si>
  <si>
    <t>19.06.05</t>
  </si>
  <si>
    <t>20.01</t>
  </si>
  <si>
    <t>20.01.01</t>
  </si>
  <si>
    <t>20.01.02</t>
  </si>
  <si>
    <t>20.01.03</t>
  </si>
  <si>
    <t>20.01.04</t>
  </si>
  <si>
    <t>20.01.05</t>
  </si>
  <si>
    <t>20.02</t>
  </si>
  <si>
    <t>20.02.01</t>
  </si>
  <si>
    <t>20.02.02</t>
  </si>
  <si>
    <t>20.02.03</t>
  </si>
  <si>
    <t>20.02.04</t>
  </si>
  <si>
    <t>20.02.05</t>
  </si>
  <si>
    <t>20.02.06</t>
  </si>
  <si>
    <t>20.03</t>
  </si>
  <si>
    <t>20.03.01</t>
  </si>
  <si>
    <t>20.03.02</t>
  </si>
  <si>
    <t>20.03.03</t>
  </si>
  <si>
    <t>20.03.04</t>
  </si>
  <si>
    <t>20.04</t>
  </si>
  <si>
    <t>20.05</t>
  </si>
  <si>
    <t>21.01</t>
  </si>
  <si>
    <t>21.01.01</t>
  </si>
  <si>
    <t>21.01.02</t>
  </si>
  <si>
    <t>21.01.03</t>
  </si>
  <si>
    <t>21.01.04</t>
  </si>
  <si>
    <t>23.01</t>
  </si>
  <si>
    <t>23.01.01</t>
  </si>
  <si>
    <t>23.02</t>
  </si>
  <si>
    <t>23.01.02</t>
  </si>
  <si>
    <t>23.03</t>
  </si>
  <si>
    <t>23.04</t>
  </si>
  <si>
    <t>23.01.04</t>
  </si>
  <si>
    <t>23.05</t>
  </si>
  <si>
    <t>23.01.05</t>
  </si>
  <si>
    <t>23.06</t>
  </si>
  <si>
    <t>23.01.06</t>
  </si>
  <si>
    <t>23.07</t>
  </si>
  <si>
    <t>23.01.07</t>
  </si>
  <si>
    <t>23.08</t>
  </si>
  <si>
    <t>23.09.01</t>
  </si>
  <si>
    <t>23.09.02</t>
  </si>
  <si>
    <t>23.09.03</t>
  </si>
  <si>
    <t>23.09.04</t>
  </si>
  <si>
    <t>23.09.05</t>
  </si>
  <si>
    <t>23.09.06</t>
  </si>
  <si>
    <t>23.09.07</t>
  </si>
  <si>
    <t>23.09.08</t>
  </si>
  <si>
    <t>23.09.09</t>
  </si>
  <si>
    <t>23.09.10</t>
  </si>
  <si>
    <t>23.09.11</t>
  </si>
  <si>
    <t>23.09.12</t>
  </si>
  <si>
    <t>23.09.13</t>
  </si>
  <si>
    <t>23.09.14</t>
  </si>
  <si>
    <t>23.09.15</t>
  </si>
  <si>
    <t>23.09.16</t>
  </si>
  <si>
    <t>23.09.17</t>
  </si>
  <si>
    <t>23.09.18</t>
  </si>
  <si>
    <t>23.09.19</t>
  </si>
  <si>
    <t>23.09.20</t>
  </si>
  <si>
    <t>23.09.21</t>
  </si>
  <si>
    <t>23.09.22</t>
  </si>
  <si>
    <t>23.09.23</t>
  </si>
  <si>
    <t>23.09.24</t>
  </si>
  <si>
    <t>OBJETO: Reforma do CEET IÚNA</t>
  </si>
  <si>
    <t xml:space="preserve">Endereço:   R. Prof. Amphilophio de Oliveira, nº: 1655, Iúna/ES - CEP:29390-000 </t>
  </si>
  <si>
    <r>
      <t>PLANILHA ORÇAMENTÁRIA            
Secretaria de Estado de Ciência, Tecnologia, Inovação e Educação Profissional - SECTI                                                                                                                                                                                                                                                                                                                                                                   OBJETO: Reforma do CEET IÚNA
PROPONENTE: CONSÓRCIO TECH IÚNA</t>
    </r>
    <r>
      <rPr>
        <sz val="12"/>
        <rFont val="Times New Roman"/>
        <family val="1"/>
      </rPr>
      <t xml:space="preserve">                                                                                                                                                                                                                                                                                                                                                                                                                          </t>
    </r>
    <r>
      <rPr>
        <b/>
        <sz val="12"/>
        <rFont val="Times New Roman"/>
        <family val="1"/>
      </rPr>
      <t>ENDEREÇO</t>
    </r>
    <r>
      <rPr>
        <sz val="12"/>
        <rFont val="Times New Roman"/>
        <family val="1"/>
      </rPr>
      <t xml:space="preserve">:  R. Prof. Amphilophio de Oliveira, nº: 1655, Iúna/ES - CEP: 29390-000                                                                                                                                                      </t>
    </r>
  </si>
  <si>
    <t>BDI: 29,09%</t>
  </si>
  <si>
    <t>1ª MEDIÇÃO</t>
  </si>
  <si>
    <t>TOTAL GERAL DA OBRA</t>
  </si>
  <si>
    <t>VALOR DE SALDO DE CONTRATO</t>
  </si>
  <si>
    <t>SALDO DE CONTRATO</t>
  </si>
  <si>
    <t>VALOR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</si>
</sst>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4" formatCode="_-&quot;R$&quot;\ * #,##0.00_-;\-&quot;R$&quot;\ * #,##0.00_-;_-&quot;R$&quot;\ * &quot;-&quot;??_-;_-@_-"/>
    <numFmt numFmtId="43" formatCode="_-* #,##0.00_-;\-* #,##0.00_-;_-* &quot;-&quot;??_-;_-@_-"/>
    <numFmt numFmtId="164" formatCode="_-&quot;R$ &quot;* #,##0.00_-;&quot;-R$ &quot;* #,##0.00_-;_-&quot;R$ &quot;* \-??_-;_-@_-"/>
    <numFmt numFmtId="165" formatCode="_-* #,##0.00_-;\-* #,##0.00_-;_-* \-??_-;_-@_-"/>
    <numFmt numFmtId="166" formatCode="&quot;R$ &quot;#,##0.00"/>
    <numFmt numFmtId="167" formatCode="d\-mmm"/>
    <numFmt numFmtId="168" formatCode="0.000000"/>
    <numFmt numFmtId="169" formatCode="0.0000000"/>
    <numFmt numFmtId="170" formatCode="#,##0.0000000"/>
    <numFmt numFmtId="171" formatCode="&quot;R$&quot;\ #,##0.00"/>
    <numFmt numFmtId="172" formatCode="_-[$R$-416]\ * #,##0.00_-;\-[$R$-416]\ * #,##0.00_-;_-[$R$-416]\ * &quot;-&quot;??_-;_-@_-"/>
  </numFmts>
  <fonts count="45">
    <font>
      <sz val="11"/>
      <color theme="1"/>
      <name val="Calibri"/>
      <family val="2"/>
    </font>
    <font>
      <sz val="11"/>
      <color theme="1"/>
      <name val="Calibri"/>
      <family val="2"/>
      <scheme val="minor"/>
    </font>
    <font>
      <sz val="11"/>
      <color theme="0"/>
      <name val="Calibri"/>
      <family val="2"/>
    </font>
    <font>
      <sz val="11"/>
      <color rgb="FF9C6500"/>
      <name val="Calibri"/>
      <family val="2"/>
    </font>
    <font>
      <sz val="10"/>
      <name val="Arial"/>
      <family val="2"/>
    </font>
    <font>
      <sz val="11"/>
      <name val="Arial"/>
      <family val="1"/>
    </font>
    <font>
      <sz val="10"/>
      <color rgb="FF000000"/>
      <name val="Times New Roman"/>
      <family val="1"/>
    </font>
    <font>
      <b/>
      <sz val="12"/>
      <color theme="1"/>
      <name val="Arial"/>
      <family val="2"/>
    </font>
    <font>
      <b/>
      <sz val="8"/>
      <color rgb="FF000000"/>
      <name val="Arial"/>
      <family val="2"/>
    </font>
    <font>
      <b/>
      <sz val="12"/>
      <name val="Times New Roman"/>
      <family val="1"/>
    </font>
    <font>
      <sz val="12"/>
      <name val="Times New Roman"/>
      <family val="1"/>
    </font>
    <font>
      <b/>
      <sz val="10"/>
      <color rgb="FF000000"/>
      <name val="Arial"/>
      <family val="1"/>
    </font>
    <font>
      <sz val="10"/>
      <color rgb="FF000000"/>
      <name val="Arial"/>
      <family val="1"/>
    </font>
    <font>
      <b/>
      <sz val="10"/>
      <color rgb="FF000000"/>
      <name val="Arial"/>
      <family val="2"/>
    </font>
    <font>
      <b/>
      <sz val="11"/>
      <color theme="1"/>
      <name val="Calibri"/>
      <family val="2"/>
    </font>
    <font>
      <sz val="11"/>
      <name val="Calibri"/>
      <family val="2"/>
    </font>
    <font>
      <sz val="10"/>
      <name val="Arial"/>
      <family val="1"/>
    </font>
    <font>
      <sz val="10"/>
      <color theme="1"/>
      <name val="Arial"/>
      <family val="2"/>
    </font>
    <font>
      <b/>
      <sz val="11"/>
      <name val="Arial"/>
      <family val="2"/>
    </font>
    <font>
      <b/>
      <sz val="12"/>
      <name val="Arial"/>
      <family val="2"/>
    </font>
    <font>
      <b/>
      <sz val="12"/>
      <color theme="1"/>
      <name val="Calibri"/>
      <family val="2"/>
    </font>
    <font>
      <sz val="12"/>
      <name val="Arial"/>
      <family val="2"/>
    </font>
    <font>
      <b/>
      <sz val="10"/>
      <color theme="1"/>
      <name val="Arial"/>
      <family val="2"/>
    </font>
    <font>
      <sz val="10"/>
      <color rgb="FF000000"/>
      <name val="Arial"/>
      <family val="2"/>
    </font>
    <font>
      <sz val="10"/>
      <name val="Arial"/>
      <family val="2"/>
    </font>
    <font>
      <sz val="11"/>
      <name val="Arial"/>
      <family val="2"/>
    </font>
    <font>
      <b/>
      <sz val="10"/>
      <name val="Arial"/>
      <family val="2"/>
    </font>
    <font>
      <sz val="9"/>
      <color rgb="FF000000"/>
      <name val="Segoe UI"/>
      <family val="2"/>
    </font>
    <font>
      <b/>
      <sz val="16"/>
      <name val="Calibri"/>
      <family val="2"/>
    </font>
    <font>
      <b/>
      <sz val="10"/>
      <name val="Calibri"/>
      <family val="2"/>
    </font>
    <font>
      <sz val="10"/>
      <name val="Calibri"/>
      <family val="2"/>
    </font>
    <font>
      <b/>
      <sz val="12"/>
      <name val="Calibri"/>
      <family val="2"/>
    </font>
    <font>
      <b/>
      <sz val="11"/>
      <name val="Calibri"/>
      <family val="2"/>
    </font>
    <font>
      <sz val="10"/>
      <name val="Calibri"/>
      <family val="2"/>
    </font>
    <font>
      <sz val="10"/>
      <color theme="1"/>
      <name val="Calibri"/>
      <family val="2"/>
    </font>
    <font>
      <sz val="11"/>
      <name val="Calibri "/>
    </font>
    <font>
      <sz val="11"/>
      <color theme="1"/>
      <name val="Calibri "/>
    </font>
    <font>
      <sz val="10"/>
      <name val="Calibri "/>
    </font>
    <font>
      <b/>
      <sz val="10"/>
      <color rgb="FFFF0000"/>
      <name val="Arial"/>
      <family val="2"/>
    </font>
    <font>
      <sz val="16"/>
      <color theme="1"/>
      <name val="Calibri"/>
      <family val="2"/>
    </font>
    <font>
      <sz val="11"/>
      <color theme="1"/>
      <name val="Calibri"/>
      <family val="2"/>
    </font>
    <font>
      <sz val="8"/>
      <name val="Calibri"/>
      <family val="2"/>
    </font>
    <font>
      <sz val="9"/>
      <color indexed="81"/>
      <name val="Segoe UI"/>
      <family val="2"/>
    </font>
    <font>
      <b/>
      <sz val="9"/>
      <color indexed="81"/>
      <name val="Segoe UI"/>
      <family val="2"/>
    </font>
    <font>
      <b/>
      <sz val="11"/>
      <color theme="1"/>
      <name val="Calibri"/>
      <family val="2"/>
      <scheme val="minor"/>
    </font>
  </fonts>
  <fills count="28">
    <fill>
      <patternFill patternType="none"/>
    </fill>
    <fill>
      <patternFill patternType="gray125"/>
    </fill>
    <fill>
      <patternFill patternType="solid">
        <fgColor theme="4" tint="0.39988402966399123"/>
        <bgColor rgb="FF9DC3E6"/>
      </patternFill>
    </fill>
    <fill>
      <patternFill patternType="solid">
        <fgColor theme="5" tint="0.39988402966399123"/>
        <bgColor rgb="FFFFD966"/>
      </patternFill>
    </fill>
    <fill>
      <patternFill patternType="solid">
        <fgColor theme="6" tint="0.39988402966399123"/>
        <bgColor rgb="FFC0C0C0"/>
      </patternFill>
    </fill>
    <fill>
      <patternFill patternType="solid">
        <fgColor theme="7" tint="0.39988402966399123"/>
        <bgColor rgb="FFFFEB9C"/>
      </patternFill>
    </fill>
    <fill>
      <patternFill patternType="solid">
        <fgColor theme="8" tint="0.39988402966399123"/>
        <bgColor rgb="FF8FAADC"/>
      </patternFill>
    </fill>
    <fill>
      <patternFill patternType="solid">
        <fgColor theme="9" tint="0.39988402966399123"/>
        <bgColor rgb="FFC0C0C0"/>
      </patternFill>
    </fill>
    <fill>
      <patternFill patternType="solid">
        <fgColor rgb="FFFFEB9C"/>
        <bgColor rgb="FFFFD966"/>
      </patternFill>
    </fill>
    <fill>
      <patternFill patternType="solid">
        <fgColor theme="8" tint="0.59987182226020086"/>
        <bgColor rgb="FFD9D9D9"/>
      </patternFill>
    </fill>
    <fill>
      <patternFill patternType="solid">
        <fgColor theme="0"/>
        <bgColor rgb="FFF2F2F2"/>
      </patternFill>
    </fill>
    <fill>
      <patternFill patternType="solid">
        <fgColor theme="6" tint="0.59987182226020086"/>
        <bgColor rgb="FFD9D9D9"/>
      </patternFill>
    </fill>
    <fill>
      <patternFill patternType="solid">
        <fgColor rgb="FFD8ECF6"/>
        <bgColor rgb="FFE2EFDA"/>
      </patternFill>
    </fill>
    <fill>
      <patternFill patternType="solid">
        <fgColor rgb="FFDFF0D8"/>
        <bgColor rgb="FFE2F0D9"/>
      </patternFill>
    </fill>
    <fill>
      <patternFill patternType="solid">
        <fgColor theme="9" tint="0.79989013336588644"/>
        <bgColor rgb="FFE2EFDA"/>
      </patternFill>
    </fill>
    <fill>
      <patternFill patternType="solid">
        <fgColor rgb="FFFFFF00"/>
        <bgColor rgb="FFFFD966"/>
      </patternFill>
    </fill>
    <fill>
      <patternFill patternType="solid">
        <fgColor theme="0" tint="-0.14999847407452621"/>
        <bgColor rgb="FFDBDBDB"/>
      </patternFill>
    </fill>
    <fill>
      <patternFill patternType="solid">
        <fgColor rgb="FF00B050"/>
        <bgColor rgb="FF008080"/>
      </patternFill>
    </fill>
    <fill>
      <patternFill patternType="solid">
        <fgColor theme="0" tint="-4.9989318521683403E-2"/>
        <bgColor rgb="FFEDEDED"/>
      </patternFill>
    </fill>
    <fill>
      <patternFill patternType="solid">
        <fgColor rgb="FFC0C0C0"/>
        <bgColor rgb="FFC9C9C9"/>
      </patternFill>
    </fill>
    <fill>
      <patternFill patternType="solid">
        <fgColor rgb="FFFFFF00"/>
        <bgColor indexed="64"/>
      </patternFill>
    </fill>
    <fill>
      <patternFill patternType="solid">
        <fgColor theme="4" tint="0.79998168889431442"/>
        <bgColor indexed="64"/>
      </patternFill>
    </fill>
    <fill>
      <patternFill patternType="solid">
        <fgColor rgb="FFFFFF00"/>
        <bgColor rgb="FFE2EFDA"/>
      </patternFill>
    </fill>
    <fill>
      <patternFill patternType="solid">
        <fgColor theme="4" tint="0.39997558519241921"/>
        <bgColor indexed="64"/>
      </patternFill>
    </fill>
    <fill>
      <patternFill patternType="solid">
        <fgColor rgb="FFF6F4F6"/>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s>
  <borders count="51">
    <border>
      <left/>
      <right/>
      <top/>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medium">
        <color auto="1"/>
      </left>
      <right/>
      <top style="medium">
        <color auto="1"/>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medium">
        <color auto="1"/>
      </left>
      <right/>
      <top/>
      <bottom/>
      <diagonal/>
    </border>
    <border>
      <left/>
      <right style="medium">
        <color auto="1"/>
      </right>
      <top/>
      <bottom/>
      <diagonal/>
    </border>
    <border>
      <left style="thin">
        <color auto="1"/>
      </left>
      <right/>
      <top style="medium">
        <color auto="1"/>
      </top>
      <bottom style="thin">
        <color auto="1"/>
      </bottom>
      <diagonal/>
    </border>
    <border>
      <left style="thin">
        <color auto="1"/>
      </left>
      <right style="thin">
        <color auto="1"/>
      </right>
      <top style="medium">
        <color auto="1"/>
      </top>
      <bottom style="thin">
        <color auto="1"/>
      </bottom>
      <diagonal/>
    </border>
    <border>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style="thin">
        <color auto="1"/>
      </right>
      <top/>
      <bottom style="thin">
        <color auto="1"/>
      </bottom>
      <diagonal/>
    </border>
    <border>
      <left style="thin">
        <color auto="1"/>
      </left>
      <right/>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diagonal/>
    </border>
    <border>
      <left style="thin">
        <color auto="1"/>
      </left>
      <right/>
      <top style="thin">
        <color auto="1"/>
      </top>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diagonal/>
    </border>
    <border>
      <left style="medium">
        <color auto="1"/>
      </left>
      <right style="medium">
        <color auto="1"/>
      </right>
      <top style="medium">
        <color auto="1"/>
      </top>
      <bottom style="thin">
        <color auto="1"/>
      </bottom>
      <diagonal/>
    </border>
    <border>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style="thin">
        <color auto="1"/>
      </left>
      <right style="medium">
        <color auto="1"/>
      </right>
      <top style="medium">
        <color auto="1"/>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thin">
        <color auto="1"/>
      </top>
      <bottom style="thin">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diagonal/>
    </border>
    <border>
      <left/>
      <right/>
      <top style="medium">
        <color auto="1"/>
      </top>
      <bottom style="thin">
        <color auto="1"/>
      </bottom>
      <diagonal/>
    </border>
    <border>
      <left/>
      <right/>
      <top style="thin">
        <color auto="1"/>
      </top>
      <bottom/>
      <diagonal/>
    </border>
    <border>
      <left style="thin">
        <color auto="1"/>
      </left>
      <right style="thin">
        <color auto="1"/>
      </right>
      <top/>
      <bottom/>
      <diagonal/>
    </border>
    <border>
      <left/>
      <right style="thin">
        <color auto="1"/>
      </right>
      <top style="thin">
        <color auto="1"/>
      </top>
      <bottom/>
      <diagonal/>
    </border>
    <border>
      <left style="thin">
        <color auto="1"/>
      </left>
      <right style="thin">
        <color auto="1"/>
      </right>
      <top style="medium">
        <color auto="1"/>
      </top>
      <bottom/>
      <diagonal/>
    </border>
    <border>
      <left style="thin">
        <color auto="1"/>
      </left>
      <right style="medium">
        <color auto="1"/>
      </right>
      <top/>
      <bottom/>
      <diagonal/>
    </border>
    <border>
      <left/>
      <right style="thin">
        <color auto="1"/>
      </right>
      <top/>
      <bottom style="thin">
        <color auto="1"/>
      </bottom>
      <diagonal/>
    </border>
  </borders>
  <cellStyleXfs count="25">
    <xf numFmtId="0" fontId="0" fillId="0" borderId="0"/>
    <xf numFmtId="164" fontId="40" fillId="0" borderId="0" applyBorder="0" applyProtection="0"/>
    <xf numFmtId="9" fontId="40" fillId="0" borderId="0" applyBorder="0" applyProtection="0"/>
    <xf numFmtId="0" fontId="2" fillId="2" borderId="0" applyBorder="0" applyProtection="0"/>
    <xf numFmtId="0" fontId="2" fillId="3" borderId="0" applyBorder="0" applyProtection="0"/>
    <xf numFmtId="0" fontId="2" fillId="4" borderId="0" applyBorder="0" applyProtection="0"/>
    <xf numFmtId="0" fontId="2" fillId="5" borderId="0" applyBorder="0" applyProtection="0"/>
    <xf numFmtId="0" fontId="2" fillId="6" borderId="0" applyBorder="0" applyProtection="0"/>
    <xf numFmtId="0" fontId="2" fillId="7" borderId="0" applyBorder="0" applyProtection="0"/>
    <xf numFmtId="164" fontId="40" fillId="0" borderId="0" applyBorder="0" applyProtection="0"/>
    <xf numFmtId="164" fontId="40" fillId="0" borderId="0" applyBorder="0" applyProtection="0"/>
    <xf numFmtId="0" fontId="3" fillId="8" borderId="0" applyBorder="0" applyProtection="0"/>
    <xf numFmtId="0" fontId="4" fillId="0" borderId="0"/>
    <xf numFmtId="0" fontId="5" fillId="0" borderId="0"/>
    <xf numFmtId="0" fontId="40" fillId="0" borderId="0"/>
    <xf numFmtId="0" fontId="4" fillId="0" borderId="0"/>
    <xf numFmtId="0" fontId="40" fillId="0" borderId="0"/>
    <xf numFmtId="0" fontId="6" fillId="0" borderId="0"/>
    <xf numFmtId="9" fontId="40" fillId="0" borderId="0" applyBorder="0" applyProtection="0"/>
    <xf numFmtId="9" fontId="40" fillId="0" borderId="0" applyBorder="0" applyProtection="0"/>
    <xf numFmtId="9" fontId="40" fillId="0" borderId="0" applyBorder="0" applyProtection="0"/>
    <xf numFmtId="165" fontId="40" fillId="0" borderId="0" applyBorder="0" applyProtection="0"/>
    <xf numFmtId="165" fontId="40" fillId="0" borderId="0" applyBorder="0" applyProtection="0"/>
    <xf numFmtId="0" fontId="1" fillId="0" borderId="0"/>
    <xf numFmtId="43" fontId="40" fillId="0" borderId="0" applyFont="0" applyFill="0" applyBorder="0" applyAlignment="0" applyProtection="0"/>
  </cellStyleXfs>
  <cellXfs count="407">
    <xf numFmtId="0" fontId="0" fillId="0" borderId="0" xfId="0"/>
    <xf numFmtId="0" fontId="0" fillId="0" borderId="0" xfId="0" applyAlignment="1">
      <alignment horizontal="center" vertical="center"/>
    </xf>
    <xf numFmtId="166" fontId="0" fillId="0" borderId="0" xfId="0" applyNumberFormat="1" applyAlignment="1">
      <alignment horizontal="center" vertical="center"/>
    </xf>
    <xf numFmtId="2" fontId="0" fillId="0" borderId="0" xfId="0" applyNumberFormat="1" applyAlignment="1">
      <alignment horizontal="center" vertical="center"/>
    </xf>
    <xf numFmtId="166" fontId="0" fillId="0" borderId="1" xfId="0" applyNumberFormat="1" applyBorder="1" applyAlignment="1">
      <alignment horizontal="center" vertical="center"/>
    </xf>
    <xf numFmtId="166" fontId="0" fillId="0" borderId="0" xfId="0" applyNumberFormat="1"/>
    <xf numFmtId="0" fontId="8" fillId="11" borderId="15" xfId="0" applyFont="1" applyFill="1" applyBorder="1" applyAlignment="1">
      <alignment horizontal="center" vertical="center" wrapText="1"/>
    </xf>
    <xf numFmtId="0" fontId="8" fillId="11" borderId="16" xfId="0" applyFont="1" applyFill="1" applyBorder="1" applyAlignment="1">
      <alignment horizontal="center" vertical="center" wrapText="1"/>
    </xf>
    <xf numFmtId="166" fontId="8" fillId="11" borderId="16" xfId="0" applyNumberFormat="1" applyFont="1" applyFill="1" applyBorder="1" applyAlignment="1">
      <alignment horizontal="center" vertical="center" wrapText="1"/>
    </xf>
    <xf numFmtId="2" fontId="8" fillId="11" borderId="16" xfId="22" applyNumberFormat="1" applyFont="1" applyFill="1" applyBorder="1" applyAlignment="1" applyProtection="1">
      <alignment horizontal="center" vertical="center" wrapText="1"/>
    </xf>
    <xf numFmtId="166" fontId="8" fillId="11" borderId="16" xfId="22" applyNumberFormat="1" applyFont="1" applyFill="1" applyBorder="1" applyAlignment="1" applyProtection="1">
      <alignment horizontal="center" vertical="center" wrapText="1"/>
    </xf>
    <xf numFmtId="166" fontId="8" fillId="11" borderId="16" xfId="22" applyNumberFormat="1" applyFont="1" applyFill="1" applyBorder="1" applyAlignment="1" applyProtection="1">
      <alignment horizontal="center" vertical="center"/>
    </xf>
    <xf numFmtId="2" fontId="11" fillId="12" borderId="1" xfId="0" applyNumberFormat="1" applyFont="1" applyFill="1" applyBorder="1" applyAlignment="1">
      <alignment horizontal="center" vertical="center" wrapText="1"/>
    </xf>
    <xf numFmtId="0" fontId="11" fillId="12" borderId="1" xfId="0" applyFont="1" applyFill="1" applyBorder="1" applyAlignment="1">
      <alignment horizontal="center" vertical="center" wrapText="1"/>
    </xf>
    <xf numFmtId="0" fontId="11" fillId="12" borderId="0" xfId="0" applyFont="1" applyFill="1" applyAlignment="1">
      <alignment horizontal="right" vertical="top" wrapText="1"/>
    </xf>
    <xf numFmtId="0" fontId="0" fillId="0" borderId="0" xfId="0" applyAlignment="1">
      <alignment vertical="center"/>
    </xf>
    <xf numFmtId="166" fontId="0" fillId="0" borderId="0" xfId="0" applyNumberFormat="1" applyAlignment="1">
      <alignment vertical="center"/>
    </xf>
    <xf numFmtId="166" fontId="11" fillId="12" borderId="1" xfId="0" applyNumberFormat="1" applyFont="1" applyFill="1" applyBorder="1" applyAlignment="1">
      <alignment horizontal="center" vertical="center" wrapText="1"/>
    </xf>
    <xf numFmtId="0" fontId="12" fillId="13" borderId="1" xfId="0" applyFont="1" applyFill="1" applyBorder="1" applyAlignment="1">
      <alignment horizontal="center" vertical="center" wrapText="1"/>
    </xf>
    <xf numFmtId="0" fontId="12" fillId="13" borderId="1" xfId="0" applyFont="1" applyFill="1" applyBorder="1" applyAlignment="1">
      <alignment horizontal="left" vertical="center" wrapText="1"/>
    </xf>
    <xf numFmtId="2" fontId="0" fillId="0" borderId="1" xfId="0" applyNumberFormat="1" applyBorder="1" applyAlignment="1">
      <alignment horizontal="center" vertical="center"/>
    </xf>
    <xf numFmtId="0" fontId="13" fillId="12" borderId="1" xfId="0" applyFont="1" applyFill="1" applyBorder="1" applyAlignment="1">
      <alignment horizontal="center" vertical="center" wrapText="1"/>
    </xf>
    <xf numFmtId="0" fontId="12" fillId="14" borderId="1" xfId="0" applyFont="1" applyFill="1" applyBorder="1" applyAlignment="1">
      <alignment horizontal="center" vertical="center" wrapText="1"/>
    </xf>
    <xf numFmtId="0" fontId="12" fillId="14" borderId="1" xfId="0" applyFont="1" applyFill="1" applyBorder="1" applyAlignment="1">
      <alignment horizontal="left" vertical="center" wrapText="1"/>
    </xf>
    <xf numFmtId="2" fontId="13" fillId="12" borderId="1" xfId="0" applyNumberFormat="1" applyFont="1" applyFill="1" applyBorder="1" applyAlignment="1">
      <alignment horizontal="center" vertical="center" wrapText="1"/>
    </xf>
    <xf numFmtId="0" fontId="0" fillId="15" borderId="0" xfId="0" applyFill="1" applyAlignment="1">
      <alignment vertical="center"/>
    </xf>
    <xf numFmtId="0" fontId="0" fillId="15" borderId="0" xfId="0" applyFill="1"/>
    <xf numFmtId="0" fontId="5" fillId="14" borderId="1" xfId="13" applyFill="1" applyBorder="1" applyAlignment="1">
      <alignment horizontal="center" vertical="center"/>
    </xf>
    <xf numFmtId="0" fontId="16" fillId="14" borderId="1" xfId="13" applyFont="1" applyFill="1" applyBorder="1" applyAlignment="1">
      <alignment horizontal="left" vertical="center" wrapText="1"/>
    </xf>
    <xf numFmtId="0" fontId="15" fillId="14" borderId="1" xfId="0" applyFont="1" applyFill="1" applyBorder="1" applyAlignment="1">
      <alignment horizontal="left" vertical="center" wrapText="1"/>
    </xf>
    <xf numFmtId="166" fontId="0" fillId="0" borderId="7" xfId="0" applyNumberFormat="1" applyBorder="1" applyAlignment="1">
      <alignment horizontal="center" vertical="center"/>
    </xf>
    <xf numFmtId="166" fontId="0" fillId="0" borderId="26" xfId="0" applyNumberFormat="1" applyBorder="1" applyAlignment="1">
      <alignment horizontal="center" vertical="center"/>
    </xf>
    <xf numFmtId="0" fontId="5" fillId="14" borderId="6" xfId="13" applyFill="1" applyBorder="1" applyAlignment="1">
      <alignment horizontal="center" vertical="center"/>
    </xf>
    <xf numFmtId="0" fontId="4" fillId="14" borderId="1" xfId="14" applyFont="1" applyFill="1" applyBorder="1" applyAlignment="1">
      <alignment horizontal="center" wrapText="1"/>
    </xf>
    <xf numFmtId="0" fontId="4" fillId="14" borderId="1" xfId="14" applyFont="1" applyFill="1" applyBorder="1" applyAlignment="1">
      <alignment horizontal="left"/>
    </xf>
    <xf numFmtId="0" fontId="12" fillId="14" borderId="7" xfId="0" applyFont="1" applyFill="1" applyBorder="1" applyAlignment="1">
      <alignment horizontal="center" vertical="center" wrapText="1"/>
    </xf>
    <xf numFmtId="166" fontId="12" fillId="14" borderId="7" xfId="0" applyNumberFormat="1" applyFont="1" applyFill="1" applyBorder="1" applyAlignment="1">
      <alignment horizontal="center" vertical="center" wrapText="1"/>
    </xf>
    <xf numFmtId="166" fontId="0" fillId="0" borderId="27" xfId="0" applyNumberFormat="1" applyBorder="1" applyAlignment="1">
      <alignment horizontal="center" vertical="center"/>
    </xf>
    <xf numFmtId="166" fontId="0" fillId="15" borderId="0" xfId="0" applyNumberFormat="1" applyFill="1" applyAlignment="1">
      <alignment vertical="center"/>
    </xf>
    <xf numFmtId="2" fontId="0" fillId="0" borderId="6" xfId="0" applyNumberFormat="1" applyBorder="1" applyAlignment="1">
      <alignment horizontal="center" vertical="center"/>
    </xf>
    <xf numFmtId="0" fontId="12" fillId="14" borderId="7" xfId="0" applyFont="1" applyFill="1" applyBorder="1" applyAlignment="1">
      <alignment horizontal="left" vertical="center" wrapText="1"/>
    </xf>
    <xf numFmtId="0" fontId="4" fillId="14" borderId="1" xfId="14" applyFont="1" applyFill="1" applyBorder="1" applyAlignment="1">
      <alignment horizontal="center" vertical="center" wrapText="1"/>
    </xf>
    <xf numFmtId="2" fontId="0" fillId="0" borderId="7" xfId="0" applyNumberFormat="1" applyBorder="1" applyAlignment="1">
      <alignment horizontal="center" vertical="center"/>
    </xf>
    <xf numFmtId="166" fontId="20" fillId="14" borderId="11" xfId="0" applyNumberFormat="1" applyFont="1" applyFill="1" applyBorder="1" applyAlignment="1">
      <alignment horizontal="center" vertical="center"/>
    </xf>
    <xf numFmtId="0" fontId="21" fillId="10" borderId="8" xfId="0" applyFont="1" applyFill="1" applyBorder="1" applyAlignment="1">
      <alignment horizontal="center" vertical="center" wrapText="1"/>
    </xf>
    <xf numFmtId="0" fontId="21" fillId="10" borderId="0" xfId="0" applyFont="1" applyFill="1" applyAlignment="1">
      <alignment horizontal="center" vertical="center" wrapText="1"/>
    </xf>
    <xf numFmtId="0" fontId="21" fillId="10" borderId="0" xfId="0" applyFont="1" applyFill="1" applyAlignment="1">
      <alignment horizontal="left" vertical="center" wrapText="1"/>
    </xf>
    <xf numFmtId="0" fontId="5" fillId="0" borderId="0" xfId="13"/>
    <xf numFmtId="0" fontId="5" fillId="0" borderId="0" xfId="13" applyAlignment="1">
      <alignment horizontal="left" wrapText="1"/>
    </xf>
    <xf numFmtId="0" fontId="5" fillId="0" borderId="0" xfId="13" applyAlignment="1">
      <alignment horizontal="center" vertical="center"/>
    </xf>
    <xf numFmtId="2" fontId="5" fillId="0" borderId="0" xfId="13" applyNumberFormat="1" applyAlignment="1">
      <alignment horizontal="center" vertical="center"/>
    </xf>
    <xf numFmtId="0" fontId="5" fillId="0" borderId="0" xfId="13" applyAlignment="1">
      <alignment horizontal="center" vertical="center" wrapText="1"/>
    </xf>
    <xf numFmtId="165" fontId="13" fillId="0" borderId="1" xfId="22" applyFont="1" applyBorder="1" applyAlignment="1" applyProtection="1">
      <alignment vertical="center" wrapText="1"/>
    </xf>
    <xf numFmtId="165" fontId="13" fillId="0" borderId="16" xfId="22" applyFont="1" applyBorder="1" applyAlignment="1" applyProtection="1">
      <alignment horizontal="center" vertical="center" wrapText="1"/>
    </xf>
    <xf numFmtId="2" fontId="13" fillId="0" borderId="16" xfId="22" applyNumberFormat="1" applyFont="1" applyBorder="1" applyAlignment="1" applyProtection="1">
      <alignment horizontal="center" vertical="center" wrapText="1"/>
    </xf>
    <xf numFmtId="2" fontId="13" fillId="0" borderId="28" xfId="22" applyNumberFormat="1" applyFont="1" applyBorder="1" applyAlignment="1" applyProtection="1">
      <alignment horizontal="center" vertical="center" wrapText="1"/>
    </xf>
    <xf numFmtId="0" fontId="13" fillId="12" borderId="17" xfId="0" applyFont="1" applyFill="1" applyBorder="1" applyAlignment="1">
      <alignment horizontal="center" vertical="center" wrapText="1"/>
    </xf>
    <xf numFmtId="0" fontId="13" fillId="12" borderId="14" xfId="0" applyFont="1" applyFill="1" applyBorder="1" applyAlignment="1">
      <alignment horizontal="center" vertical="center" wrapText="1"/>
    </xf>
    <xf numFmtId="0" fontId="13" fillId="12" borderId="14" xfId="0" applyFont="1" applyFill="1" applyBorder="1" applyAlignment="1">
      <alignment horizontal="left" vertical="center" wrapText="1"/>
    </xf>
    <xf numFmtId="0" fontId="13" fillId="12" borderId="24" xfId="0" applyFont="1" applyFill="1" applyBorder="1" applyAlignment="1">
      <alignment horizontal="center" vertical="center" wrapText="1"/>
    </xf>
    <xf numFmtId="0" fontId="13" fillId="12" borderId="13" xfId="0" applyFont="1" applyFill="1" applyBorder="1" applyAlignment="1">
      <alignment horizontal="center" vertical="center" wrapText="1"/>
    </xf>
    <xf numFmtId="0" fontId="13" fillId="12" borderId="1" xfId="0" applyFont="1" applyFill="1" applyBorder="1" applyAlignment="1">
      <alignment horizontal="left" vertical="center" wrapText="1"/>
    </xf>
    <xf numFmtId="0" fontId="23" fillId="13" borderId="1" xfId="13" applyFont="1" applyFill="1" applyBorder="1" applyAlignment="1">
      <alignment horizontal="center" vertical="center" wrapText="1"/>
    </xf>
    <xf numFmtId="0" fontId="13" fillId="12" borderId="25" xfId="0" applyFont="1" applyFill="1" applyBorder="1" applyAlignment="1">
      <alignment horizontal="center" vertical="center" wrapText="1"/>
    </xf>
    <xf numFmtId="0" fontId="23" fillId="13" borderId="13" xfId="0" applyFont="1" applyFill="1" applyBorder="1" applyAlignment="1">
      <alignment horizontal="center" vertical="center" wrapText="1"/>
    </xf>
    <xf numFmtId="0" fontId="23" fillId="13" borderId="1" xfId="0" applyFont="1" applyFill="1" applyBorder="1" applyAlignment="1">
      <alignment horizontal="center" vertical="center" wrapText="1"/>
    </xf>
    <xf numFmtId="0" fontId="23" fillId="13" borderId="1" xfId="0" applyFont="1" applyFill="1" applyBorder="1" applyAlignment="1">
      <alignment horizontal="left" vertical="center"/>
    </xf>
    <xf numFmtId="0" fontId="4" fillId="13" borderId="1" xfId="13" applyFont="1" applyFill="1" applyBorder="1" applyAlignment="1">
      <alignment horizontal="center" vertical="center" wrapText="1"/>
    </xf>
    <xf numFmtId="2" fontId="17" fillId="0" borderId="1" xfId="0" applyNumberFormat="1" applyFont="1" applyBorder="1" applyAlignment="1">
      <alignment horizontal="center" vertical="center"/>
    </xf>
    <xf numFmtId="0" fontId="17" fillId="0" borderId="1" xfId="0" applyFont="1" applyBorder="1" applyAlignment="1">
      <alignment horizontal="center" vertical="center"/>
    </xf>
    <xf numFmtId="0" fontId="17" fillId="0" borderId="1" xfId="0" applyFont="1" applyBorder="1" applyAlignment="1">
      <alignment horizontal="center" vertical="center" wrapText="1"/>
    </xf>
    <xf numFmtId="2" fontId="17" fillId="0" borderId="25" xfId="0" applyNumberFormat="1" applyFont="1" applyBorder="1" applyAlignment="1">
      <alignment horizontal="center" vertical="center"/>
    </xf>
    <xf numFmtId="0" fontId="23" fillId="13" borderId="1" xfId="0" applyFont="1" applyFill="1" applyBorder="1" applyAlignment="1">
      <alignment horizontal="left" vertical="center" wrapText="1"/>
    </xf>
    <xf numFmtId="2" fontId="17" fillId="0" borderId="1" xfId="0" applyNumberFormat="1" applyFont="1" applyBorder="1" applyAlignment="1">
      <alignment horizontal="center" vertical="center" wrapText="1"/>
    </xf>
    <xf numFmtId="0" fontId="17" fillId="0" borderId="25" xfId="0" applyFont="1" applyBorder="1" applyAlignment="1">
      <alignment horizontal="center" vertical="center"/>
    </xf>
    <xf numFmtId="0" fontId="0" fillId="0" borderId="1" xfId="0" applyBorder="1"/>
    <xf numFmtId="0" fontId="4" fillId="0" borderId="1" xfId="13" applyFont="1" applyBorder="1" applyAlignment="1">
      <alignment horizontal="center" vertical="center" wrapText="1"/>
    </xf>
    <xf numFmtId="2" fontId="17" fillId="12" borderId="1" xfId="0" applyNumberFormat="1" applyFont="1" applyFill="1" applyBorder="1" applyAlignment="1">
      <alignment horizontal="center" vertical="center"/>
    </xf>
    <xf numFmtId="0" fontId="17" fillId="12" borderId="1" xfId="0" applyFont="1" applyFill="1" applyBorder="1" applyAlignment="1">
      <alignment horizontal="center" vertical="center"/>
    </xf>
    <xf numFmtId="0" fontId="17" fillId="12" borderId="1" xfId="0" applyFont="1" applyFill="1" applyBorder="1" applyAlignment="1">
      <alignment horizontal="center" vertical="center" wrapText="1"/>
    </xf>
    <xf numFmtId="2" fontId="17" fillId="12" borderId="25" xfId="0" applyNumberFormat="1" applyFont="1" applyFill="1" applyBorder="1" applyAlignment="1">
      <alignment horizontal="center" vertical="center"/>
    </xf>
    <xf numFmtId="0" fontId="0" fillId="0" borderId="20" xfId="0" applyBorder="1"/>
    <xf numFmtId="0" fontId="0" fillId="0" borderId="7" xfId="0" applyBorder="1"/>
    <xf numFmtId="167" fontId="17" fillId="0" borderId="1" xfId="0" applyNumberFormat="1" applyFont="1" applyBorder="1" applyAlignment="1">
      <alignment horizontal="center" vertical="center" wrapText="1"/>
    </xf>
    <xf numFmtId="2" fontId="17" fillId="0" borderId="25" xfId="0" applyNumberFormat="1" applyFont="1" applyBorder="1" applyAlignment="1">
      <alignment horizontal="center" vertical="center" wrapText="1"/>
    </xf>
    <xf numFmtId="0" fontId="12" fillId="13" borderId="31" xfId="0" applyFont="1" applyFill="1" applyBorder="1" applyAlignment="1">
      <alignment horizontal="right" vertical="top"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17" fillId="0" borderId="25" xfId="0" applyFont="1" applyBorder="1" applyAlignment="1">
      <alignment horizontal="center" vertical="center" wrapText="1"/>
    </xf>
    <xf numFmtId="0" fontId="4" fillId="0" borderId="1" xfId="13" applyFont="1" applyBorder="1" applyAlignment="1">
      <alignment horizontal="center" vertical="center"/>
    </xf>
    <xf numFmtId="2" fontId="4" fillId="0" borderId="1" xfId="13" applyNumberFormat="1" applyFont="1" applyBorder="1" applyAlignment="1">
      <alignment horizontal="center" vertical="center"/>
    </xf>
    <xf numFmtId="0" fontId="4" fillId="12" borderId="1" xfId="13" applyFont="1" applyFill="1" applyBorder="1" applyAlignment="1">
      <alignment horizontal="center" vertical="center"/>
    </xf>
    <xf numFmtId="2" fontId="4" fillId="12" borderId="1" xfId="13" applyNumberFormat="1" applyFont="1" applyFill="1" applyBorder="1" applyAlignment="1">
      <alignment horizontal="center" vertical="center"/>
    </xf>
    <xf numFmtId="0" fontId="4" fillId="12" borderId="1" xfId="13" applyFont="1" applyFill="1" applyBorder="1" applyAlignment="1">
      <alignment horizontal="center" vertical="center" wrapText="1"/>
    </xf>
    <xf numFmtId="2" fontId="4" fillId="12" borderId="25" xfId="13" applyNumberFormat="1" applyFont="1" applyFill="1" applyBorder="1" applyAlignment="1">
      <alignment horizontal="center" vertical="center"/>
    </xf>
    <xf numFmtId="2" fontId="4" fillId="0" borderId="25" xfId="13" applyNumberFormat="1" applyFont="1" applyBorder="1" applyAlignment="1">
      <alignment horizontal="center" vertical="center"/>
    </xf>
    <xf numFmtId="0" fontId="23" fillId="14" borderId="13" xfId="0" applyFont="1" applyFill="1" applyBorder="1" applyAlignment="1">
      <alignment horizontal="center" vertical="center" wrapText="1"/>
    </xf>
    <xf numFmtId="0" fontId="23" fillId="14" borderId="1" xfId="0" applyFont="1" applyFill="1" applyBorder="1" applyAlignment="1">
      <alignment horizontal="center" vertical="center" wrapText="1"/>
    </xf>
    <xf numFmtId="0" fontId="23" fillId="14" borderId="1" xfId="0" applyFont="1" applyFill="1" applyBorder="1" applyAlignment="1">
      <alignment horizontal="left" vertical="center" wrapText="1"/>
    </xf>
    <xf numFmtId="0" fontId="4" fillId="0" borderId="25" xfId="13" applyFont="1" applyBorder="1" applyAlignment="1">
      <alignment horizontal="center" vertical="center"/>
    </xf>
    <xf numFmtId="3" fontId="23" fillId="13" borderId="13" xfId="0" applyNumberFormat="1" applyFont="1" applyFill="1" applyBorder="1" applyAlignment="1">
      <alignment horizontal="center" vertical="center" wrapText="1"/>
    </xf>
    <xf numFmtId="0" fontId="5" fillId="0" borderId="1" xfId="13" applyBorder="1" applyAlignment="1">
      <alignment horizontal="center" vertical="center"/>
    </xf>
    <xf numFmtId="2" fontId="5" fillId="0" borderId="1" xfId="13" applyNumberFormat="1" applyBorder="1" applyAlignment="1">
      <alignment horizontal="center" vertical="center"/>
    </xf>
    <xf numFmtId="0" fontId="5" fillId="0" borderId="1" xfId="13" applyBorder="1" applyAlignment="1">
      <alignment horizontal="center" vertical="center" wrapText="1"/>
    </xf>
    <xf numFmtId="2" fontId="17" fillId="10" borderId="1" xfId="0" applyNumberFormat="1" applyFont="1" applyFill="1" applyBorder="1" applyAlignment="1">
      <alignment horizontal="center" vertical="center"/>
    </xf>
    <xf numFmtId="0" fontId="4" fillId="10" borderId="1" xfId="13" applyFont="1" applyFill="1" applyBorder="1" applyAlignment="1">
      <alignment horizontal="center" vertical="center"/>
    </xf>
    <xf numFmtId="2" fontId="4" fillId="10" borderId="1" xfId="13" applyNumberFormat="1" applyFont="1" applyFill="1" applyBorder="1" applyAlignment="1">
      <alignment horizontal="center" vertical="center"/>
    </xf>
    <xf numFmtId="0" fontId="4" fillId="14" borderId="13" xfId="13" applyFont="1" applyFill="1" applyBorder="1" applyAlignment="1">
      <alignment horizontal="center" vertical="center"/>
    </xf>
    <xf numFmtId="0" fontId="4" fillId="14" borderId="1" xfId="0" applyFont="1" applyFill="1" applyBorder="1" applyAlignment="1">
      <alignment horizontal="center" vertical="center"/>
    </xf>
    <xf numFmtId="0" fontId="4" fillId="14" borderId="1" xfId="13" applyFont="1" applyFill="1" applyBorder="1" applyAlignment="1">
      <alignment horizontal="center" vertical="center"/>
    </xf>
    <xf numFmtId="0" fontId="4" fillId="14" borderId="1" xfId="0" applyFont="1" applyFill="1" applyBorder="1" applyAlignment="1">
      <alignment horizontal="left" vertical="center" wrapText="1"/>
    </xf>
    <xf numFmtId="0" fontId="4" fillId="14" borderId="1" xfId="0" applyFont="1" applyFill="1" applyBorder="1" applyAlignment="1">
      <alignment horizontal="center" vertical="center" wrapText="1"/>
    </xf>
    <xf numFmtId="0" fontId="4" fillId="14" borderId="1" xfId="13" applyFont="1" applyFill="1" applyBorder="1" applyAlignment="1">
      <alignment horizontal="left" vertical="center" wrapText="1"/>
    </xf>
    <xf numFmtId="0" fontId="4" fillId="13" borderId="13" xfId="13" applyFont="1" applyFill="1" applyBorder="1" applyAlignment="1">
      <alignment horizontal="center" vertical="center"/>
    </xf>
    <xf numFmtId="0" fontId="4" fillId="13" borderId="1" xfId="0" applyFont="1" applyFill="1" applyBorder="1" applyAlignment="1">
      <alignment horizontal="left" vertical="center" wrapText="1"/>
    </xf>
    <xf numFmtId="0" fontId="24" fillId="13" borderId="1" xfId="0" applyFont="1" applyFill="1" applyBorder="1" applyAlignment="1">
      <alignment horizontal="left" vertical="center" wrapText="1"/>
    </xf>
    <xf numFmtId="0" fontId="4" fillId="14" borderId="1" xfId="13" applyFont="1" applyFill="1" applyBorder="1" applyAlignment="1">
      <alignment horizontal="left" vertical="center"/>
    </xf>
    <xf numFmtId="0" fontId="4" fillId="17" borderId="1" xfId="13" applyFont="1" applyFill="1" applyBorder="1" applyAlignment="1">
      <alignment horizontal="center" vertical="center"/>
    </xf>
    <xf numFmtId="0" fontId="4" fillId="13" borderId="1" xfId="13" applyFont="1" applyFill="1" applyBorder="1" applyAlignment="1">
      <alignment horizontal="center" vertical="center"/>
    </xf>
    <xf numFmtId="0" fontId="25" fillId="14" borderId="1" xfId="13" applyFont="1" applyFill="1" applyBorder="1" applyAlignment="1">
      <alignment horizontal="center" vertical="center"/>
    </xf>
    <xf numFmtId="0" fontId="23" fillId="14" borderId="7" xfId="0" applyFont="1" applyFill="1" applyBorder="1" applyAlignment="1">
      <alignment horizontal="center" vertical="center" wrapText="1"/>
    </xf>
    <xf numFmtId="0" fontId="23" fillId="14" borderId="7" xfId="0" applyFont="1" applyFill="1" applyBorder="1" applyAlignment="1">
      <alignment horizontal="left" vertical="center" wrapText="1"/>
    </xf>
    <xf numFmtId="0" fontId="25" fillId="13" borderId="6" xfId="13" applyFont="1" applyFill="1" applyBorder="1" applyAlignment="1">
      <alignment horizontal="center" vertical="center"/>
    </xf>
    <xf numFmtId="0" fontId="23" fillId="13" borderId="7" xfId="0" applyFont="1" applyFill="1" applyBorder="1" applyAlignment="1">
      <alignment horizontal="center" vertical="center" wrapText="1"/>
    </xf>
    <xf numFmtId="0" fontId="23" fillId="13" borderId="7" xfId="0" applyFont="1" applyFill="1" applyBorder="1" applyAlignment="1">
      <alignment horizontal="left" vertical="center" wrapText="1"/>
    </xf>
    <xf numFmtId="0" fontId="4" fillId="13" borderId="1" xfId="14" applyFont="1" applyFill="1" applyBorder="1" applyAlignment="1">
      <alignment horizontal="center" wrapText="1"/>
    </xf>
    <xf numFmtId="0" fontId="4" fillId="0" borderId="7" xfId="13" applyFont="1" applyBorder="1" applyAlignment="1">
      <alignment horizontal="center" vertical="center"/>
    </xf>
    <xf numFmtId="0" fontId="17" fillId="0" borderId="7" xfId="0" applyFont="1" applyBorder="1" applyAlignment="1">
      <alignment horizontal="center" vertical="center"/>
    </xf>
    <xf numFmtId="0" fontId="4" fillId="0" borderId="7" xfId="13" applyFont="1" applyBorder="1" applyAlignment="1">
      <alignment horizontal="center" vertical="center" wrapText="1"/>
    </xf>
    <xf numFmtId="2" fontId="4" fillId="0" borderId="7" xfId="13" applyNumberFormat="1" applyFont="1" applyBorder="1" applyAlignment="1">
      <alignment horizontal="center" vertical="center"/>
    </xf>
    <xf numFmtId="0" fontId="18" fillId="12" borderId="6" xfId="13" applyFont="1" applyFill="1" applyBorder="1" applyAlignment="1">
      <alignment horizontal="center" vertical="center"/>
    </xf>
    <xf numFmtId="0" fontId="13" fillId="12" borderId="7" xfId="0" applyFont="1" applyFill="1" applyBorder="1" applyAlignment="1">
      <alignment horizontal="center" vertical="center" wrapText="1"/>
    </xf>
    <xf numFmtId="0" fontId="13" fillId="12" borderId="7" xfId="0" applyFont="1" applyFill="1" applyBorder="1" applyAlignment="1">
      <alignment horizontal="left" vertical="center" wrapText="1"/>
    </xf>
    <xf numFmtId="0" fontId="5" fillId="12" borderId="0" xfId="13" applyFill="1"/>
    <xf numFmtId="0" fontId="17" fillId="13" borderId="1" xfId="0" applyFont="1" applyFill="1" applyBorder="1" applyAlignment="1">
      <alignment vertical="top" wrapText="1"/>
    </xf>
    <xf numFmtId="0" fontId="26" fillId="12" borderId="1" xfId="14" applyFont="1" applyFill="1" applyBorder="1" applyAlignment="1">
      <alignment horizontal="center" wrapText="1"/>
    </xf>
    <xf numFmtId="0" fontId="22" fillId="12" borderId="1" xfId="0" applyFont="1" applyFill="1" applyBorder="1" applyAlignment="1">
      <alignment vertical="top" wrapText="1"/>
    </xf>
    <xf numFmtId="166" fontId="12" fillId="12" borderId="7" xfId="0" applyNumberFormat="1" applyFont="1" applyFill="1" applyBorder="1" applyAlignment="1">
      <alignment horizontal="center" vertical="center" wrapText="1"/>
    </xf>
    <xf numFmtId="0" fontId="4" fillId="12" borderId="7" xfId="13" applyFont="1" applyFill="1" applyBorder="1" applyAlignment="1">
      <alignment horizontal="center" vertical="center" wrapText="1"/>
    </xf>
    <xf numFmtId="0" fontId="11" fillId="0" borderId="1" xfId="0" applyFont="1" applyBorder="1" applyAlignment="1">
      <alignment horizontal="center" vertical="center" wrapText="1"/>
    </xf>
    <xf numFmtId="2" fontId="4" fillId="12" borderId="7" xfId="13" applyNumberFormat="1" applyFont="1" applyFill="1" applyBorder="1" applyAlignment="1">
      <alignment horizontal="center" vertical="center"/>
    </xf>
    <xf numFmtId="0" fontId="4" fillId="13" borderId="7" xfId="14" applyFont="1" applyFill="1" applyBorder="1" applyAlignment="1">
      <alignment horizontal="center" wrapText="1"/>
    </xf>
    <xf numFmtId="0" fontId="5" fillId="0" borderId="0" xfId="13" applyAlignment="1">
      <alignment horizontal="center" wrapText="1"/>
    </xf>
    <xf numFmtId="0" fontId="11" fillId="12" borderId="0" xfId="0" applyFont="1" applyFill="1" applyAlignment="1">
      <alignment horizontal="left" vertical="top" wrapText="1"/>
    </xf>
    <xf numFmtId="0" fontId="5" fillId="14" borderId="0" xfId="13" applyFill="1"/>
    <xf numFmtId="0" fontId="5" fillId="17" borderId="0" xfId="13" applyFill="1" applyAlignment="1">
      <alignment horizontal="center" vertical="center"/>
    </xf>
    <xf numFmtId="0" fontId="5" fillId="14" borderId="0" xfId="13" applyFill="1" applyAlignment="1">
      <alignment horizontal="left" wrapText="1"/>
    </xf>
    <xf numFmtId="0" fontId="5" fillId="14" borderId="0" xfId="13" applyFill="1" applyAlignment="1">
      <alignment wrapText="1"/>
    </xf>
    <xf numFmtId="0" fontId="4" fillId="0" borderId="0" xfId="12"/>
    <xf numFmtId="0" fontId="29" fillId="18" borderId="2" xfId="16" applyFont="1" applyFill="1" applyBorder="1" applyAlignment="1">
      <alignment horizontal="left" vertical="center"/>
    </xf>
    <xf numFmtId="0" fontId="29" fillId="18" borderId="13" xfId="16" applyFont="1" applyFill="1" applyBorder="1" applyAlignment="1">
      <alignment horizontal="left" vertical="center"/>
    </xf>
    <xf numFmtId="0" fontId="29" fillId="18" borderId="15" xfId="16" applyFont="1" applyFill="1" applyBorder="1" applyAlignment="1">
      <alignment horizontal="left" vertical="center" wrapText="1"/>
    </xf>
    <xf numFmtId="0" fontId="29" fillId="10" borderId="16" xfId="16" applyFont="1" applyFill="1" applyBorder="1" applyAlignment="1">
      <alignment horizontal="right" vertical="center" wrapText="1"/>
    </xf>
    <xf numFmtId="0" fontId="0" fillId="0" borderId="13" xfId="0" applyBorder="1" applyAlignment="1">
      <alignment horizontal="left" vertical="top" wrapText="1"/>
    </xf>
    <xf numFmtId="168" fontId="30" fillId="10" borderId="14" xfId="16" applyNumberFormat="1" applyFont="1" applyFill="1" applyBorder="1" applyAlignment="1">
      <alignment horizontal="right" vertical="center" wrapText="1"/>
    </xf>
    <xf numFmtId="0" fontId="30" fillId="10" borderId="14" xfId="16" applyFont="1" applyFill="1" applyBorder="1" applyAlignment="1">
      <alignment horizontal="right" vertical="center" wrapText="1"/>
    </xf>
    <xf numFmtId="164" fontId="30" fillId="0" borderId="14" xfId="16" applyNumberFormat="1" applyFont="1" applyBorder="1" applyAlignment="1">
      <alignment horizontal="right" vertical="center" wrapText="1"/>
    </xf>
    <xf numFmtId="164" fontId="30" fillId="10" borderId="14" xfId="16" applyNumberFormat="1" applyFont="1" applyFill="1" applyBorder="1" applyAlignment="1">
      <alignment horizontal="right" vertical="center" wrapText="1"/>
    </xf>
    <xf numFmtId="164" fontId="30" fillId="10" borderId="24" xfId="16" applyNumberFormat="1" applyFont="1" applyFill="1" applyBorder="1" applyAlignment="1">
      <alignment horizontal="right" vertical="center" wrapText="1"/>
    </xf>
    <xf numFmtId="0" fontId="30" fillId="10" borderId="37" xfId="16" applyFont="1" applyFill="1" applyBorder="1" applyAlignment="1">
      <alignment vertical="center" wrapText="1"/>
    </xf>
    <xf numFmtId="0" fontId="30" fillId="10" borderId="38" xfId="16" applyFont="1" applyFill="1" applyBorder="1" applyAlignment="1">
      <alignment horizontal="center" vertical="center" wrapText="1"/>
    </xf>
    <xf numFmtId="0" fontId="30" fillId="10" borderId="38" xfId="16" applyFont="1" applyFill="1" applyBorder="1" applyAlignment="1">
      <alignment horizontal="right" vertical="center" wrapText="1"/>
    </xf>
    <xf numFmtId="0" fontId="30" fillId="10" borderId="39" xfId="16" applyFont="1" applyFill="1" applyBorder="1" applyAlignment="1">
      <alignment horizontal="right" vertical="center" wrapText="1"/>
    </xf>
    <xf numFmtId="0" fontId="29" fillId="18" borderId="1" xfId="16" applyFont="1" applyFill="1" applyBorder="1" applyAlignment="1">
      <alignment horizontal="right" vertical="center" wrapText="1"/>
    </xf>
    <xf numFmtId="164" fontId="29" fillId="18" borderId="25" xfId="16" applyNumberFormat="1" applyFont="1" applyFill="1" applyBorder="1" applyAlignment="1">
      <alignment horizontal="right" vertical="center" wrapText="1"/>
    </xf>
    <xf numFmtId="164" fontId="4" fillId="0" borderId="0" xfId="12" applyNumberFormat="1"/>
    <xf numFmtId="0" fontId="30" fillId="10" borderId="40" xfId="16" applyFont="1" applyFill="1" applyBorder="1"/>
    <xf numFmtId="0" fontId="30" fillId="10" borderId="38" xfId="16" applyFont="1" applyFill="1" applyBorder="1"/>
    <xf numFmtId="0" fontId="30" fillId="10" borderId="39" xfId="16" applyFont="1" applyFill="1" applyBorder="1"/>
    <xf numFmtId="0" fontId="29" fillId="18" borderId="16" xfId="16" applyFont="1" applyFill="1" applyBorder="1" applyAlignment="1">
      <alignment horizontal="right" vertical="center" wrapText="1"/>
    </xf>
    <xf numFmtId="164" fontId="29" fillId="18" borderId="28" xfId="16" applyNumberFormat="1" applyFont="1" applyFill="1" applyBorder="1"/>
    <xf numFmtId="0" fontId="30" fillId="0" borderId="8" xfId="16" applyFont="1" applyBorder="1"/>
    <xf numFmtId="0" fontId="30" fillId="0" borderId="0" xfId="16" applyFont="1"/>
    <xf numFmtId="0" fontId="30" fillId="0" borderId="9" xfId="16" applyFont="1" applyBorder="1"/>
    <xf numFmtId="169" fontId="30" fillId="10" borderId="14" xfId="16" applyNumberFormat="1" applyFont="1" applyFill="1" applyBorder="1" applyAlignment="1">
      <alignment horizontal="right" vertical="center" wrapText="1"/>
    </xf>
    <xf numFmtId="0" fontId="29" fillId="18" borderId="3" xfId="16" applyFont="1" applyFill="1" applyBorder="1"/>
    <xf numFmtId="0" fontId="30" fillId="18" borderId="41" xfId="16" applyFont="1" applyFill="1" applyBorder="1"/>
    <xf numFmtId="0" fontId="30" fillId="18" borderId="42" xfId="16" applyFont="1" applyFill="1" applyBorder="1"/>
    <xf numFmtId="0" fontId="29" fillId="10" borderId="17" xfId="16" applyFont="1" applyFill="1" applyBorder="1" applyAlignment="1">
      <alignment vertical="center" wrapText="1"/>
    </xf>
    <xf numFmtId="0" fontId="29" fillId="10" borderId="14" xfId="16" applyFont="1" applyFill="1" applyBorder="1" applyAlignment="1">
      <alignment horizontal="center" vertical="center" wrapText="1"/>
    </xf>
    <xf numFmtId="0" fontId="29" fillId="10" borderId="24" xfId="16" applyFont="1" applyFill="1" applyBorder="1" applyAlignment="1">
      <alignment horizontal="center" vertical="center" wrapText="1"/>
    </xf>
    <xf numFmtId="0" fontId="29" fillId="0" borderId="0" xfId="16" applyFont="1" applyAlignment="1">
      <alignment horizontal="center" vertical="center" wrapText="1"/>
    </xf>
    <xf numFmtId="0" fontId="29" fillId="10" borderId="13" xfId="16" applyFont="1" applyFill="1" applyBorder="1" applyAlignment="1">
      <alignment vertical="center" wrapText="1"/>
    </xf>
    <xf numFmtId="10" fontId="29" fillId="10" borderId="1" xfId="19" applyNumberFormat="1" applyFont="1" applyFill="1" applyBorder="1" applyAlignment="1" applyProtection="1">
      <alignment horizontal="right" vertical="center" wrapText="1"/>
    </xf>
    <xf numFmtId="2" fontId="29" fillId="10" borderId="25" xfId="16" applyNumberFormat="1" applyFont="1" applyFill="1" applyBorder="1" applyAlignment="1">
      <alignment horizontal="right" vertical="center" wrapText="1"/>
    </xf>
    <xf numFmtId="2" fontId="29" fillId="0" borderId="0" xfId="16" applyNumberFormat="1" applyFont="1" applyAlignment="1">
      <alignment horizontal="right" vertical="center" wrapText="1"/>
    </xf>
    <xf numFmtId="0" fontId="29" fillId="10" borderId="1" xfId="16" applyFont="1" applyFill="1" applyBorder="1" applyAlignment="1">
      <alignment horizontal="right" vertical="center" wrapText="1"/>
    </xf>
    <xf numFmtId="2" fontId="30" fillId="0" borderId="0" xfId="16" applyNumberFormat="1" applyFont="1"/>
    <xf numFmtId="0" fontId="29" fillId="10" borderId="13" xfId="16" applyFont="1" applyFill="1" applyBorder="1" applyAlignment="1">
      <alignment horizontal="left" vertical="top" wrapText="1"/>
    </xf>
    <xf numFmtId="0" fontId="29" fillId="10" borderId="6" xfId="16" applyFont="1" applyFill="1" applyBorder="1" applyAlignment="1">
      <alignment vertical="center" wrapText="1"/>
    </xf>
    <xf numFmtId="2" fontId="29" fillId="10" borderId="26" xfId="16" applyNumberFormat="1" applyFont="1" applyFill="1" applyBorder="1" applyAlignment="1">
      <alignment horizontal="right" vertical="center" wrapText="1"/>
    </xf>
    <xf numFmtId="0" fontId="32" fillId="16" borderId="3" xfId="16" applyFont="1" applyFill="1" applyBorder="1" applyAlignment="1">
      <alignment vertical="center" wrapText="1"/>
    </xf>
    <xf numFmtId="164" fontId="32" fillId="0" borderId="22" xfId="10" applyFont="1" applyBorder="1" applyAlignment="1" applyProtection="1">
      <alignment horizontal="right" vertical="center" wrapText="1"/>
    </xf>
    <xf numFmtId="0" fontId="30" fillId="0" borderId="22" xfId="16" applyFont="1" applyBorder="1"/>
    <xf numFmtId="0" fontId="30" fillId="0" borderId="23" xfId="16" applyFont="1" applyBorder="1"/>
    <xf numFmtId="2" fontId="30" fillId="10" borderId="18" xfId="16" applyNumberFormat="1" applyFont="1" applyFill="1" applyBorder="1" applyAlignment="1">
      <alignment horizontal="right" vertical="center" wrapText="1"/>
    </xf>
    <xf numFmtId="0" fontId="29" fillId="10" borderId="39" xfId="16" applyFont="1" applyFill="1" applyBorder="1" applyAlignment="1">
      <alignment horizontal="right" vertical="center" wrapText="1"/>
    </xf>
    <xf numFmtId="164" fontId="30" fillId="0" borderId="24" xfId="16" applyNumberFormat="1" applyFont="1" applyBorder="1" applyAlignment="1">
      <alignment horizontal="right" vertical="center" wrapText="1"/>
    </xf>
    <xf numFmtId="0" fontId="16" fillId="0" borderId="2" xfId="0" applyFont="1" applyBorder="1" applyAlignment="1">
      <alignment horizontal="left" vertical="top" wrapText="1"/>
    </xf>
    <xf numFmtId="0" fontId="0" fillId="0" borderId="44" xfId="0" applyBorder="1" applyAlignment="1">
      <alignment horizontal="center" vertical="center" wrapText="1"/>
    </xf>
    <xf numFmtId="0" fontId="16" fillId="0" borderId="11" xfId="0" applyFont="1" applyBorder="1" applyAlignment="1">
      <alignment horizontal="center" vertical="center" wrapText="1"/>
    </xf>
    <xf numFmtId="170" fontId="16" fillId="0" borderId="11" xfId="0" applyNumberFormat="1" applyFont="1" applyBorder="1" applyAlignment="1">
      <alignment horizontal="center" vertical="center" wrapText="1"/>
    </xf>
    <xf numFmtId="0" fontId="30" fillId="10" borderId="11" xfId="16" applyFont="1" applyFill="1" applyBorder="1" applyAlignment="1">
      <alignment horizontal="right" vertical="center" wrapText="1"/>
    </xf>
    <xf numFmtId="4" fontId="16" fillId="0" borderId="11" xfId="0" applyNumberFormat="1" applyFont="1" applyBorder="1" applyAlignment="1">
      <alignment horizontal="center" vertical="center" wrapText="1"/>
    </xf>
    <xf numFmtId="164" fontId="30" fillId="10" borderId="11" xfId="16" applyNumberFormat="1" applyFont="1" applyFill="1" applyBorder="1" applyAlignment="1">
      <alignment horizontal="right" vertical="center" wrapText="1"/>
    </xf>
    <xf numFmtId="164" fontId="30" fillId="10" borderId="33" xfId="16" applyNumberFormat="1" applyFont="1" applyFill="1" applyBorder="1" applyAlignment="1">
      <alignment horizontal="right" vertical="center" wrapText="1"/>
    </xf>
    <xf numFmtId="0" fontId="16" fillId="0" borderId="13" xfId="0" applyFont="1" applyBorder="1" applyAlignment="1">
      <alignment horizontal="left" vertical="top" wrapText="1"/>
    </xf>
    <xf numFmtId="0" fontId="0" fillId="0" borderId="45" xfId="0" applyBorder="1" applyAlignment="1">
      <alignment horizontal="center" vertical="center" wrapText="1"/>
    </xf>
    <xf numFmtId="0" fontId="16" fillId="0" borderId="1" xfId="0" applyFont="1" applyBorder="1" applyAlignment="1">
      <alignment horizontal="center" vertical="center" wrapText="1"/>
    </xf>
    <xf numFmtId="170" fontId="16" fillId="0" borderId="1" xfId="0" applyNumberFormat="1" applyFont="1" applyBorder="1" applyAlignment="1">
      <alignment horizontal="center" vertical="center" wrapText="1"/>
    </xf>
    <xf numFmtId="0" fontId="30" fillId="10" borderId="1" xfId="16" applyFont="1" applyFill="1" applyBorder="1" applyAlignment="1">
      <alignment horizontal="right" vertical="center" wrapText="1"/>
    </xf>
    <xf numFmtId="4" fontId="16" fillId="0" borderId="1" xfId="0" applyNumberFormat="1" applyFont="1" applyBorder="1" applyAlignment="1">
      <alignment horizontal="center" vertical="center" wrapText="1"/>
    </xf>
    <xf numFmtId="0" fontId="30" fillId="10" borderId="46" xfId="16" applyFont="1" applyFill="1" applyBorder="1" applyAlignment="1">
      <alignment horizontal="right" vertical="center" wrapText="1"/>
    </xf>
    <xf numFmtId="164" fontId="30" fillId="10" borderId="1" xfId="16" applyNumberFormat="1" applyFont="1" applyFill="1" applyBorder="1" applyAlignment="1">
      <alignment horizontal="right" vertical="center" wrapText="1"/>
    </xf>
    <xf numFmtId="0" fontId="30" fillId="10" borderId="40" xfId="16" applyFont="1" applyFill="1" applyBorder="1" applyAlignment="1">
      <alignment vertical="center" wrapText="1"/>
    </xf>
    <xf numFmtId="164" fontId="29" fillId="18" borderId="28" xfId="16" applyNumberFormat="1" applyFont="1" applyFill="1" applyBorder="1" applyAlignment="1">
      <alignment horizontal="right" vertical="center" wrapText="1"/>
    </xf>
    <xf numFmtId="0" fontId="0" fillId="0" borderId="1" xfId="0" applyBorder="1" applyAlignment="1">
      <alignment vertical="top" wrapText="1"/>
    </xf>
    <xf numFmtId="0" fontId="0" fillId="0" borderId="7" xfId="0" applyBorder="1" applyAlignment="1">
      <alignment vertical="top" wrapText="1"/>
    </xf>
    <xf numFmtId="166" fontId="0" fillId="0" borderId="1" xfId="0" applyNumberFormat="1" applyBorder="1" applyAlignment="1">
      <alignment horizontal="right" vertical="center" wrapText="1"/>
    </xf>
    <xf numFmtId="0" fontId="0" fillId="0" borderId="47" xfId="0" applyBorder="1" applyAlignment="1">
      <alignment horizontal="center" vertical="center" wrapText="1"/>
    </xf>
    <xf numFmtId="0" fontId="0" fillId="0" borderId="7" xfId="0" applyBorder="1" applyAlignment="1">
      <alignment horizontal="center" vertical="center" wrapText="1"/>
    </xf>
    <xf numFmtId="168" fontId="30" fillId="10" borderId="46" xfId="16" applyNumberFormat="1" applyFont="1" applyFill="1" applyBorder="1" applyAlignment="1">
      <alignment horizontal="right" vertical="center" wrapText="1"/>
    </xf>
    <xf numFmtId="166" fontId="30" fillId="0" borderId="46" xfId="16" applyNumberFormat="1" applyFont="1" applyBorder="1" applyAlignment="1">
      <alignment horizontal="right" vertical="center" wrapText="1"/>
    </xf>
    <xf numFmtId="0" fontId="16" fillId="0" borderId="1" xfId="0" applyFont="1" applyBorder="1" applyAlignment="1">
      <alignment horizontal="left" vertical="top" wrapText="1"/>
    </xf>
    <xf numFmtId="0" fontId="16" fillId="0" borderId="1" xfId="0" applyFont="1" applyBorder="1" applyAlignment="1">
      <alignment horizontal="center" vertical="top" wrapText="1"/>
    </xf>
    <xf numFmtId="168" fontId="30" fillId="10" borderId="1" xfId="16" applyNumberFormat="1" applyFont="1" applyFill="1" applyBorder="1" applyAlignment="1">
      <alignment horizontal="right" vertical="center" wrapText="1"/>
    </xf>
    <xf numFmtId="166" fontId="30" fillId="0" borderId="1" xfId="16" applyNumberFormat="1" applyFont="1" applyBorder="1" applyAlignment="1">
      <alignment horizontal="right" vertical="center" wrapText="1"/>
    </xf>
    <xf numFmtId="0" fontId="0" fillId="0" borderId="1" xfId="0" applyBorder="1" applyAlignment="1">
      <alignment horizontal="left" vertical="top" wrapText="1"/>
    </xf>
    <xf numFmtId="164" fontId="30" fillId="0" borderId="1" xfId="16" applyNumberFormat="1" applyFont="1" applyBorder="1" applyAlignment="1">
      <alignment horizontal="right" vertical="center" wrapText="1"/>
    </xf>
    <xf numFmtId="0" fontId="16" fillId="0" borderId="48" xfId="0" applyFont="1" applyBorder="1" applyAlignment="1">
      <alignment horizontal="center" vertical="center" wrapText="1"/>
    </xf>
    <xf numFmtId="164" fontId="34" fillId="0" borderId="1" xfId="0" applyNumberFormat="1" applyFont="1" applyBorder="1" applyAlignment="1">
      <alignment horizontal="right" vertical="center" wrapText="1"/>
    </xf>
    <xf numFmtId="0" fontId="0" fillId="0" borderId="27" xfId="0" applyBorder="1" applyAlignment="1">
      <alignment horizontal="center" vertical="center" wrapText="1"/>
    </xf>
    <xf numFmtId="164" fontId="30" fillId="0" borderId="46" xfId="16" applyNumberFormat="1" applyFont="1" applyBorder="1" applyAlignment="1">
      <alignment horizontal="right" vertical="center" wrapText="1"/>
    </xf>
    <xf numFmtId="0" fontId="35" fillId="0" borderId="2" xfId="0" applyFont="1" applyBorder="1" applyAlignment="1">
      <alignment horizontal="left" vertical="top" wrapText="1"/>
    </xf>
    <xf numFmtId="0" fontId="36" fillId="0" borderId="44" xfId="0" applyFont="1" applyBorder="1" applyAlignment="1">
      <alignment horizontal="center" vertical="center" wrapText="1"/>
    </xf>
    <xf numFmtId="0" fontId="37" fillId="0" borderId="11" xfId="0" applyFont="1" applyBorder="1" applyAlignment="1">
      <alignment horizontal="center" vertical="center" wrapText="1"/>
    </xf>
    <xf numFmtId="170" fontId="37" fillId="0" borderId="11" xfId="0" applyNumberFormat="1" applyFont="1" applyBorder="1" applyAlignment="1">
      <alignment horizontal="center" vertical="center" wrapText="1"/>
    </xf>
    <xf numFmtId="0" fontId="37" fillId="10" borderId="11" xfId="16" applyFont="1" applyFill="1" applyBorder="1" applyAlignment="1">
      <alignment horizontal="right" vertical="center" wrapText="1"/>
    </xf>
    <xf numFmtId="166" fontId="37" fillId="0" borderId="11" xfId="0" applyNumberFormat="1" applyFont="1" applyBorder="1" applyAlignment="1">
      <alignment horizontal="center" vertical="center" wrapText="1"/>
    </xf>
    <xf numFmtId="164" fontId="37" fillId="10" borderId="11" xfId="16" applyNumberFormat="1" applyFont="1" applyFill="1" applyBorder="1" applyAlignment="1">
      <alignment horizontal="right" vertical="center" wrapText="1"/>
    </xf>
    <xf numFmtId="164" fontId="37" fillId="10" borderId="33" xfId="16" applyNumberFormat="1" applyFont="1" applyFill="1" applyBorder="1" applyAlignment="1">
      <alignment horizontal="right" vertical="center" wrapText="1"/>
    </xf>
    <xf numFmtId="0" fontId="35" fillId="0" borderId="13" xfId="0" applyFont="1" applyBorder="1" applyAlignment="1">
      <alignment horizontal="left" vertical="top" wrapText="1"/>
    </xf>
    <xf numFmtId="0" fontId="36" fillId="0" borderId="45" xfId="0" applyFont="1" applyBorder="1" applyAlignment="1">
      <alignment horizontal="center" vertical="center" wrapText="1"/>
    </xf>
    <xf numFmtId="0" fontId="37" fillId="0" borderId="1" xfId="0" applyFont="1" applyBorder="1" applyAlignment="1">
      <alignment horizontal="center" vertical="center" wrapText="1"/>
    </xf>
    <xf numFmtId="170" fontId="37" fillId="0" borderId="1" xfId="0" applyNumberFormat="1" applyFont="1" applyBorder="1" applyAlignment="1">
      <alignment horizontal="center" vertical="center" wrapText="1"/>
    </xf>
    <xf numFmtId="0" fontId="37" fillId="10" borderId="1" xfId="16" applyFont="1" applyFill="1" applyBorder="1" applyAlignment="1">
      <alignment horizontal="right" vertical="center" wrapText="1"/>
    </xf>
    <xf numFmtId="166" fontId="37" fillId="0" borderId="1" xfId="0" applyNumberFormat="1" applyFont="1" applyBorder="1" applyAlignment="1">
      <alignment horizontal="center" vertical="center" wrapText="1"/>
    </xf>
    <xf numFmtId="0" fontId="37" fillId="10" borderId="46" xfId="16" applyFont="1" applyFill="1" applyBorder="1" applyAlignment="1">
      <alignment horizontal="right" vertical="center" wrapText="1"/>
    </xf>
    <xf numFmtId="164" fontId="37" fillId="10" borderId="14" xfId="16" applyNumberFormat="1" applyFont="1" applyFill="1" applyBorder="1" applyAlignment="1">
      <alignment horizontal="right" vertical="center" wrapText="1"/>
    </xf>
    <xf numFmtId="164" fontId="37" fillId="10" borderId="1" xfId="16" applyNumberFormat="1" applyFont="1" applyFill="1" applyBorder="1" applyAlignment="1">
      <alignment horizontal="right" vertical="center" wrapText="1"/>
    </xf>
    <xf numFmtId="0" fontId="35" fillId="0" borderId="6" xfId="0" applyFont="1" applyBorder="1" applyAlignment="1">
      <alignment horizontal="left" vertical="top" wrapText="1"/>
    </xf>
    <xf numFmtId="0" fontId="37" fillId="0" borderId="7" xfId="0" applyFont="1" applyBorder="1" applyAlignment="1">
      <alignment horizontal="center" vertical="center" wrapText="1"/>
    </xf>
    <xf numFmtId="170" fontId="37" fillId="0" borderId="7" xfId="0" applyNumberFormat="1" applyFont="1" applyBorder="1" applyAlignment="1">
      <alignment horizontal="center" vertical="center" wrapText="1"/>
    </xf>
    <xf numFmtId="0" fontId="37" fillId="10" borderId="7" xfId="16" applyFont="1" applyFill="1" applyBorder="1" applyAlignment="1">
      <alignment horizontal="right" vertical="center" wrapText="1"/>
    </xf>
    <xf numFmtId="164" fontId="37" fillId="10" borderId="46" xfId="16" applyNumberFormat="1" applyFont="1" applyFill="1" applyBorder="1" applyAlignment="1">
      <alignment horizontal="right" vertical="center" wrapText="1"/>
    </xf>
    <xf numFmtId="164" fontId="37" fillId="10" borderId="7" xfId="16" applyNumberFormat="1" applyFont="1" applyFill="1" applyBorder="1" applyAlignment="1">
      <alignment horizontal="right" vertical="center" wrapText="1"/>
    </xf>
    <xf numFmtId="0" fontId="35" fillId="0" borderId="1" xfId="0" applyFont="1" applyBorder="1" applyAlignment="1">
      <alignment horizontal="left" vertical="top" wrapText="1"/>
    </xf>
    <xf numFmtId="0" fontId="36" fillId="0" borderId="1" xfId="0" applyFont="1" applyBorder="1" applyAlignment="1">
      <alignment horizontal="center" vertical="center" wrapText="1"/>
    </xf>
    <xf numFmtId="164" fontId="30" fillId="10" borderId="46" xfId="16" applyNumberFormat="1" applyFont="1" applyFill="1" applyBorder="1" applyAlignment="1">
      <alignment horizontal="right" vertical="center" wrapText="1"/>
    </xf>
    <xf numFmtId="164" fontId="30" fillId="10" borderId="49" xfId="16" applyNumberFormat="1" applyFont="1" applyFill="1" applyBorder="1" applyAlignment="1">
      <alignment horizontal="right" vertical="center" wrapText="1"/>
    </xf>
    <xf numFmtId="0" fontId="4" fillId="0" borderId="0" xfId="15"/>
    <xf numFmtId="0" fontId="26" fillId="0" borderId="0" xfId="15" applyFont="1"/>
    <xf numFmtId="0" fontId="26" fillId="0" borderId="0" xfId="15" applyFont="1" applyAlignment="1">
      <alignment horizontal="right"/>
    </xf>
    <xf numFmtId="0" fontId="26" fillId="19" borderId="1" xfId="15" applyFont="1" applyFill="1" applyBorder="1" applyAlignment="1">
      <alignment horizontal="center" vertical="center" wrapText="1"/>
    </xf>
    <xf numFmtId="0" fontId="4" fillId="0" borderId="0" xfId="15" applyAlignment="1">
      <alignment horizontal="center"/>
    </xf>
    <xf numFmtId="0" fontId="4" fillId="0" borderId="1" xfId="15" applyBorder="1"/>
    <xf numFmtId="165" fontId="4" fillId="0" borderId="1" xfId="21" applyFont="1" applyBorder="1" applyProtection="1"/>
    <xf numFmtId="0" fontId="4" fillId="0" borderId="1" xfId="15" applyBorder="1" applyAlignment="1">
      <alignment wrapText="1"/>
    </xf>
    <xf numFmtId="10" fontId="4" fillId="0" borderId="0" xfId="15" applyNumberFormat="1"/>
    <xf numFmtId="0" fontId="4" fillId="0" borderId="0" xfId="15" applyAlignment="1">
      <alignment horizontal="right"/>
    </xf>
    <xf numFmtId="165" fontId="4" fillId="0" borderId="1" xfId="21" applyFont="1" applyBorder="1" applyAlignment="1" applyProtection="1">
      <alignment horizontal="center"/>
    </xf>
    <xf numFmtId="0" fontId="4" fillId="0" borderId="1" xfId="15" applyBorder="1" applyAlignment="1">
      <alignment horizontal="right"/>
    </xf>
    <xf numFmtId="0" fontId="34" fillId="0" borderId="0" xfId="0" applyFont="1" applyAlignment="1">
      <alignment horizontal="center" vertical="center"/>
    </xf>
    <xf numFmtId="0" fontId="34" fillId="0" borderId="0" xfId="0" applyFont="1" applyAlignment="1">
      <alignment horizontal="center" vertical="top" wrapText="1"/>
    </xf>
    <xf numFmtId="10" fontId="0" fillId="0" borderId="0" xfId="2" applyNumberFormat="1" applyFont="1" applyBorder="1" applyAlignment="1" applyProtection="1">
      <alignment horizontal="center" vertical="center"/>
    </xf>
    <xf numFmtId="10" fontId="0" fillId="0" borderId="0" xfId="0" applyNumberFormat="1" applyAlignment="1">
      <alignment horizontal="center" vertical="center"/>
    </xf>
    <xf numFmtId="0" fontId="14" fillId="0" borderId="0" xfId="0" applyFont="1"/>
    <xf numFmtId="9" fontId="40" fillId="0" borderId="0" xfId="2"/>
    <xf numFmtId="0" fontId="8" fillId="11" borderId="1" xfId="0" applyFont="1" applyFill="1" applyBorder="1" applyAlignment="1">
      <alignment horizontal="center" vertical="center" wrapText="1"/>
    </xf>
    <xf numFmtId="0" fontId="8" fillId="11" borderId="1" xfId="0" applyFont="1" applyFill="1" applyBorder="1" applyAlignment="1">
      <alignment horizontal="left" vertical="center" wrapText="1"/>
    </xf>
    <xf numFmtId="2" fontId="8" fillId="11" borderId="1" xfId="22" applyNumberFormat="1" applyFont="1" applyFill="1" applyBorder="1" applyAlignment="1" applyProtection="1">
      <alignment horizontal="center" vertical="center" wrapText="1"/>
    </xf>
    <xf numFmtId="2" fontId="8" fillId="11" borderId="1" xfId="22" quotePrefix="1" applyNumberFormat="1" applyFont="1" applyFill="1" applyBorder="1" applyAlignment="1" applyProtection="1">
      <alignment horizontal="center" vertical="center" wrapText="1"/>
    </xf>
    <xf numFmtId="2" fontId="0" fillId="20" borderId="1" xfId="0" applyNumberFormat="1" applyFill="1" applyBorder="1" applyAlignment="1">
      <alignment horizontal="center" vertical="center"/>
    </xf>
    <xf numFmtId="0" fontId="0" fillId="0" borderId="0" xfId="0" applyAlignment="1">
      <alignment horizontal="center" vertical="center" wrapText="1"/>
    </xf>
    <xf numFmtId="2" fontId="0" fillId="0" borderId="1" xfId="0" applyNumberFormat="1" applyBorder="1" applyAlignment="1">
      <alignment horizontal="center" vertical="center" wrapText="1"/>
    </xf>
    <xf numFmtId="2" fontId="0" fillId="20" borderId="1" xfId="0" applyNumberFormat="1" applyFill="1" applyBorder="1" applyAlignment="1">
      <alignment horizontal="center" vertical="center" wrapText="1"/>
    </xf>
    <xf numFmtId="2" fontId="8" fillId="11" borderId="16" xfId="0" applyNumberFormat="1" applyFont="1" applyFill="1" applyBorder="1" applyAlignment="1">
      <alignment horizontal="center" vertical="center" wrapText="1"/>
    </xf>
    <xf numFmtId="2" fontId="20" fillId="14" borderId="11" xfId="0" applyNumberFormat="1" applyFont="1" applyFill="1" applyBorder="1" applyAlignment="1">
      <alignment horizontal="center" vertical="center"/>
    </xf>
    <xf numFmtId="44" fontId="0" fillId="23" borderId="1" xfId="0" applyNumberFormat="1" applyFill="1" applyBorder="1" applyAlignment="1">
      <alignment vertical="center"/>
    </xf>
    <xf numFmtId="0" fontId="0" fillId="23" borderId="1" xfId="0" applyFill="1" applyBorder="1" applyAlignment="1">
      <alignment vertical="center"/>
    </xf>
    <xf numFmtId="0" fontId="0" fillId="0" borderId="1" xfId="0" applyBorder="1" applyAlignment="1">
      <alignment vertical="center" wrapText="1"/>
    </xf>
    <xf numFmtId="44" fontId="0" fillId="0" borderId="1" xfId="0" applyNumberFormat="1" applyBorder="1" applyAlignment="1">
      <alignment vertical="center"/>
    </xf>
    <xf numFmtId="0" fontId="0" fillId="0" borderId="1" xfId="0" applyBorder="1" applyAlignment="1">
      <alignment horizontal="left" vertical="center" wrapText="1"/>
    </xf>
    <xf numFmtId="0" fontId="26" fillId="24" borderId="1" xfId="0" applyFont="1" applyFill="1" applyBorder="1" applyAlignment="1">
      <alignment horizontal="center" vertical="center" wrapText="1"/>
    </xf>
    <xf numFmtId="0" fontId="26" fillId="24" borderId="1" xfId="0" applyFont="1" applyFill="1" applyBorder="1" applyAlignment="1">
      <alignment vertical="center" wrapText="1"/>
    </xf>
    <xf numFmtId="164" fontId="26" fillId="24" borderId="1" xfId="1" applyFont="1" applyFill="1" applyBorder="1" applyAlignment="1" applyProtection="1">
      <alignment vertical="center"/>
    </xf>
    <xf numFmtId="172" fontId="26" fillId="24" borderId="1" xfId="1" applyNumberFormat="1" applyFont="1" applyFill="1" applyBorder="1" applyAlignment="1" applyProtection="1">
      <alignment vertical="center"/>
    </xf>
    <xf numFmtId="0" fontId="26" fillId="0" borderId="1" xfId="0" applyFont="1" applyBorder="1" applyAlignment="1">
      <alignment vertical="center" wrapText="1"/>
    </xf>
    <xf numFmtId="0" fontId="0" fillId="25" borderId="1" xfId="0" applyFill="1" applyBorder="1" applyAlignment="1">
      <alignment vertical="center" wrapText="1"/>
    </xf>
    <xf numFmtId="0" fontId="0" fillId="0" borderId="46" xfId="0" applyBorder="1" applyAlignment="1">
      <alignment vertical="center" wrapText="1"/>
    </xf>
    <xf numFmtId="0" fontId="0" fillId="24" borderId="1" xfId="0" applyFill="1" applyBorder="1" applyAlignment="1">
      <alignment horizontal="center" vertical="center" wrapText="1"/>
    </xf>
    <xf numFmtId="164" fontId="0" fillId="24" borderId="1" xfId="1" applyFont="1" applyFill="1" applyBorder="1" applyAlignment="1" applyProtection="1">
      <alignment vertical="center"/>
    </xf>
    <xf numFmtId="0" fontId="0" fillId="25" borderId="1" xfId="0" applyFill="1" applyBorder="1" applyAlignment="1">
      <alignment horizontal="center" vertical="center" wrapText="1"/>
    </xf>
    <xf numFmtId="164" fontId="0" fillId="25" borderId="1" xfId="1" applyFont="1" applyFill="1" applyBorder="1" applyAlignment="1" applyProtection="1">
      <alignment vertical="center"/>
    </xf>
    <xf numFmtId="43" fontId="8" fillId="11" borderId="16" xfId="24" applyFont="1" applyFill="1" applyBorder="1" applyAlignment="1" applyProtection="1">
      <alignment horizontal="center" vertical="center" wrapText="1"/>
    </xf>
    <xf numFmtId="43" fontId="0" fillId="23" borderId="1" xfId="24" applyFont="1" applyFill="1" applyBorder="1" applyAlignment="1">
      <alignment vertical="center"/>
    </xf>
    <xf numFmtId="43" fontId="0" fillId="0" borderId="1" xfId="24" applyFont="1" applyBorder="1" applyAlignment="1">
      <alignment vertical="center"/>
    </xf>
    <xf numFmtId="43" fontId="26" fillId="24" borderId="1" xfId="24" applyFont="1" applyFill="1" applyBorder="1" applyAlignment="1" applyProtection="1">
      <alignment vertical="center"/>
    </xf>
    <xf numFmtId="10" fontId="8" fillId="11" borderId="16" xfId="0" applyNumberFormat="1" applyFont="1" applyFill="1" applyBorder="1" applyAlignment="1">
      <alignment horizontal="center" vertical="center" wrapText="1"/>
    </xf>
    <xf numFmtId="10" fontId="0" fillId="0" borderId="1" xfId="0" applyNumberFormat="1" applyBorder="1" applyAlignment="1">
      <alignment horizontal="center" vertical="center"/>
    </xf>
    <xf numFmtId="10" fontId="26" fillId="24" borderId="1" xfId="1" applyNumberFormat="1" applyFont="1" applyFill="1" applyBorder="1" applyAlignment="1" applyProtection="1">
      <alignment horizontal="center" vertical="center"/>
    </xf>
    <xf numFmtId="10" fontId="0" fillId="23" borderId="1" xfId="0" applyNumberFormat="1" applyFill="1" applyBorder="1" applyAlignment="1">
      <alignment horizontal="center" vertical="center"/>
    </xf>
    <xf numFmtId="171" fontId="20" fillId="22" borderId="20" xfId="2" applyNumberFormat="1" applyFont="1" applyFill="1" applyBorder="1" applyAlignment="1" applyProtection="1">
      <alignment horizontal="center" vertical="center"/>
    </xf>
    <xf numFmtId="171" fontId="20" fillId="22" borderId="19" xfId="2" applyNumberFormat="1" applyFont="1" applyFill="1" applyBorder="1" applyAlignment="1" applyProtection="1">
      <alignment horizontal="center" vertical="center"/>
    </xf>
    <xf numFmtId="0" fontId="0" fillId="0" borderId="0" xfId="0" applyAlignment="1">
      <alignment horizontal="left" vertical="center" wrapText="1"/>
    </xf>
    <xf numFmtId="0" fontId="0" fillId="0" borderId="1" xfId="0" quotePrefix="1" applyBorder="1" applyAlignment="1">
      <alignment horizontal="center" vertical="center" wrapText="1"/>
    </xf>
    <xf numFmtId="2" fontId="26" fillId="24" borderId="1" xfId="0" applyNumberFormat="1" applyFont="1" applyFill="1" applyBorder="1" applyAlignment="1">
      <alignment horizontal="center" vertical="center" wrapText="1"/>
    </xf>
    <xf numFmtId="0" fontId="26" fillId="0" borderId="1" xfId="0" applyFont="1" applyBorder="1" applyAlignment="1">
      <alignment horizontal="center" vertical="center" wrapText="1"/>
    </xf>
    <xf numFmtId="2" fontId="26" fillId="0" borderId="1" xfId="0" applyNumberFormat="1" applyFont="1" applyBorder="1" applyAlignment="1">
      <alignment horizontal="center" vertical="center" wrapText="1"/>
    </xf>
    <xf numFmtId="2" fontId="0" fillId="25" borderId="1" xfId="0" applyNumberFormat="1" applyFill="1" applyBorder="1" applyAlignment="1">
      <alignment horizontal="center" vertical="center" wrapText="1"/>
    </xf>
    <xf numFmtId="2" fontId="0" fillId="24" borderId="1" xfId="0" applyNumberFormat="1" applyFill="1" applyBorder="1" applyAlignment="1">
      <alignment horizontal="center" vertical="center" wrapText="1"/>
    </xf>
    <xf numFmtId="2" fontId="0" fillId="0" borderId="0" xfId="0" applyNumberFormat="1" applyAlignment="1">
      <alignment horizontal="center" vertical="center" wrapText="1"/>
    </xf>
    <xf numFmtId="43" fontId="0" fillId="0" borderId="1" xfId="24" quotePrefix="1" applyFont="1" applyBorder="1" applyAlignment="1">
      <alignment vertical="center"/>
    </xf>
    <xf numFmtId="43" fontId="20" fillId="14" borderId="11" xfId="24" applyFont="1" applyFill="1" applyBorder="1" applyAlignment="1">
      <alignment horizontal="center" vertical="center"/>
    </xf>
    <xf numFmtId="43" fontId="20" fillId="22" borderId="20" xfId="24" applyFont="1" applyFill="1" applyBorder="1" applyAlignment="1" applyProtection="1">
      <alignment horizontal="center" vertical="center"/>
    </xf>
    <xf numFmtId="43" fontId="0" fillId="0" borderId="0" xfId="24" applyFont="1" applyAlignment="1">
      <alignment horizontal="center" vertical="center"/>
    </xf>
    <xf numFmtId="43" fontId="0" fillId="23" borderId="1" xfId="24" applyFont="1" applyFill="1" applyBorder="1" applyAlignment="1">
      <alignment horizontal="center" vertical="center"/>
    </xf>
    <xf numFmtId="43" fontId="0" fillId="0" borderId="1" xfId="24" applyFont="1" applyBorder="1" applyAlignment="1">
      <alignment horizontal="center" vertical="center"/>
    </xf>
    <xf numFmtId="43" fontId="0" fillId="0" borderId="1" xfId="24" quotePrefix="1" applyFont="1" applyBorder="1" applyAlignment="1">
      <alignment horizontal="center" vertical="center"/>
    </xf>
    <xf numFmtId="43" fontId="26" fillId="24" borderId="1" xfId="24" applyFont="1" applyFill="1" applyBorder="1" applyAlignment="1" applyProtection="1">
      <alignment horizontal="center" vertical="center"/>
    </xf>
    <xf numFmtId="166" fontId="8" fillId="11" borderId="28" xfId="22" applyNumberFormat="1" applyFont="1" applyFill="1" applyBorder="1" applyAlignment="1" applyProtection="1">
      <alignment horizontal="center" vertical="center" wrapText="1"/>
    </xf>
    <xf numFmtId="0" fontId="0" fillId="23" borderId="13" xfId="0" applyFill="1" applyBorder="1" applyAlignment="1">
      <alignment horizontal="center" vertical="center"/>
    </xf>
    <xf numFmtId="0" fontId="0" fillId="23" borderId="25" xfId="0" applyFill="1" applyBorder="1" applyAlignment="1">
      <alignment vertical="center"/>
    </xf>
    <xf numFmtId="0" fontId="0" fillId="0" borderId="13" xfId="0" applyBorder="1" applyAlignment="1">
      <alignment horizontal="center" vertical="center"/>
    </xf>
    <xf numFmtId="44" fontId="0" fillId="0" borderId="25" xfId="0" applyNumberFormat="1" applyBorder="1" applyAlignment="1">
      <alignment vertical="center"/>
    </xf>
    <xf numFmtId="0" fontId="0" fillId="25" borderId="13" xfId="0" applyFill="1" applyBorder="1" applyAlignment="1">
      <alignment horizontal="center" vertical="center"/>
    </xf>
    <xf numFmtId="0" fontId="26" fillId="24" borderId="13" xfId="0" applyFont="1" applyFill="1" applyBorder="1" applyAlignment="1">
      <alignment horizontal="center" vertical="center" wrapText="1"/>
    </xf>
    <xf numFmtId="172" fontId="26" fillId="24" borderId="25" xfId="1" applyNumberFormat="1" applyFont="1" applyFill="1" applyBorder="1" applyAlignment="1" applyProtection="1">
      <alignment vertical="center"/>
    </xf>
    <xf numFmtId="44" fontId="0" fillId="23" borderId="25" xfId="0" applyNumberFormat="1" applyFill="1" applyBorder="1" applyAlignment="1">
      <alignment vertical="center"/>
    </xf>
    <xf numFmtId="0" fontId="0" fillId="26" borderId="13" xfId="0" applyFill="1" applyBorder="1" applyAlignment="1">
      <alignment horizontal="center" vertical="center"/>
    </xf>
    <xf numFmtId="0" fontId="0" fillId="0" borderId="0" xfId="0" applyAlignment="1">
      <alignment wrapText="1"/>
    </xf>
    <xf numFmtId="0" fontId="0" fillId="25" borderId="13" xfId="0" applyFill="1" applyBorder="1" applyAlignment="1">
      <alignment horizontal="center" vertical="center" wrapText="1"/>
    </xf>
    <xf numFmtId="2" fontId="0" fillId="23" borderId="15" xfId="0" applyNumberFormat="1" applyFill="1" applyBorder="1" applyAlignment="1">
      <alignment horizontal="center" vertical="center"/>
    </xf>
    <xf numFmtId="0" fontId="0" fillId="23" borderId="16" xfId="0" applyFill="1" applyBorder="1" applyAlignment="1">
      <alignment horizontal="center" vertical="center" wrapText="1"/>
    </xf>
    <xf numFmtId="0" fontId="26" fillId="23" borderId="16" xfId="0" applyFont="1" applyFill="1" applyBorder="1" applyAlignment="1">
      <alignment horizontal="left" vertical="center" wrapText="1"/>
    </xf>
    <xf numFmtId="2" fontId="0" fillId="23" borderId="16" xfId="0" applyNumberFormat="1" applyFill="1" applyBorder="1" applyAlignment="1">
      <alignment horizontal="center" vertical="center" wrapText="1"/>
    </xf>
    <xf numFmtId="164" fontId="0" fillId="23" borderId="16" xfId="1" applyFont="1" applyFill="1" applyBorder="1" applyAlignment="1" applyProtection="1">
      <alignment vertical="center"/>
    </xf>
    <xf numFmtId="172" fontId="26" fillId="23" borderId="16" xfId="1" applyNumberFormat="1" applyFont="1" applyFill="1" applyBorder="1" applyAlignment="1" applyProtection="1">
      <alignment vertical="center"/>
    </xf>
    <xf numFmtId="10" fontId="26" fillId="23" borderId="16" xfId="1" applyNumberFormat="1" applyFont="1" applyFill="1" applyBorder="1" applyAlignment="1" applyProtection="1">
      <alignment horizontal="center" vertical="center"/>
    </xf>
    <xf numFmtId="43" fontId="26" fillId="23" borderId="16" xfId="24" applyFont="1" applyFill="1" applyBorder="1" applyAlignment="1" applyProtection="1">
      <alignment horizontal="center" vertical="center"/>
    </xf>
    <xf numFmtId="0" fontId="0" fillId="27" borderId="1" xfId="0" applyFill="1" applyBorder="1" applyAlignment="1">
      <alignment vertical="center" wrapText="1"/>
    </xf>
    <xf numFmtId="0" fontId="44" fillId="23" borderId="1" xfId="0" applyFont="1" applyFill="1" applyBorder="1" applyAlignment="1">
      <alignment horizontal="center" vertical="center" wrapText="1"/>
    </xf>
    <xf numFmtId="0" fontId="44" fillId="23" borderId="1" xfId="0" applyFont="1" applyFill="1" applyBorder="1" applyAlignment="1">
      <alignment horizontal="left" vertical="center" wrapText="1"/>
    </xf>
    <xf numFmtId="166" fontId="8" fillId="0" borderId="4" xfId="0" applyNumberFormat="1" applyFont="1" applyBorder="1" applyAlignment="1">
      <alignment horizontal="center" vertical="center"/>
    </xf>
    <xf numFmtId="166" fontId="8" fillId="0" borderId="5" xfId="0" applyNumberFormat="1" applyFont="1" applyBorder="1" applyAlignment="1">
      <alignment horizontal="center" vertical="center"/>
    </xf>
    <xf numFmtId="166" fontId="8" fillId="0" borderId="21" xfId="0" applyNumberFormat="1" applyFont="1" applyBorder="1" applyAlignment="1">
      <alignment horizontal="center" vertical="center"/>
    </xf>
    <xf numFmtId="166" fontId="8" fillId="0" borderId="23" xfId="0" applyNumberFormat="1" applyFont="1" applyBorder="1" applyAlignment="1">
      <alignment horizontal="center" vertical="center"/>
    </xf>
    <xf numFmtId="166" fontId="8" fillId="0" borderId="8" xfId="0" applyNumberFormat="1" applyFont="1" applyBorder="1" applyAlignment="1">
      <alignment horizontal="center" vertical="center"/>
    </xf>
    <xf numFmtId="166" fontId="8" fillId="0" borderId="9" xfId="0" applyNumberFormat="1" applyFont="1" applyBorder="1" applyAlignment="1">
      <alignment horizontal="center" vertical="center"/>
    </xf>
    <xf numFmtId="165" fontId="8" fillId="11" borderId="11" xfId="22" applyFont="1" applyFill="1" applyBorder="1" applyAlignment="1" applyProtection="1">
      <alignment horizontal="center" vertical="center" wrapText="1"/>
    </xf>
    <xf numFmtId="165" fontId="8" fillId="11" borderId="33" xfId="22" applyFont="1" applyFill="1" applyBorder="1" applyAlignment="1" applyProtection="1">
      <alignment horizontal="center" vertical="center" wrapText="1"/>
    </xf>
    <xf numFmtId="10" fontId="21" fillId="10" borderId="8" xfId="0" applyNumberFormat="1" applyFont="1" applyFill="1" applyBorder="1" applyAlignment="1">
      <alignment horizontal="center" wrapText="1"/>
    </xf>
    <xf numFmtId="0" fontId="19" fillId="22" borderId="13" xfId="0" applyFont="1" applyFill="1" applyBorder="1" applyAlignment="1">
      <alignment horizontal="center" vertical="top" wrapText="1"/>
    </xf>
    <xf numFmtId="171" fontId="20" fillId="22" borderId="1" xfId="2" applyNumberFormat="1" applyFont="1" applyFill="1" applyBorder="1" applyAlignment="1" applyProtection="1">
      <alignment horizontal="center" vertical="center"/>
    </xf>
    <xf numFmtId="0" fontId="19" fillId="14" borderId="29" xfId="13" applyFont="1" applyFill="1" applyBorder="1" applyAlignment="1">
      <alignment horizontal="center" vertical="top" wrapText="1"/>
    </xf>
    <xf numFmtId="166" fontId="20" fillId="14" borderId="11" xfId="0" applyNumberFormat="1" applyFont="1" applyFill="1" applyBorder="1" applyAlignment="1">
      <alignment horizontal="center" vertical="center"/>
    </xf>
    <xf numFmtId="165" fontId="8" fillId="11" borderId="50" xfId="22" applyFont="1" applyFill="1" applyBorder="1" applyAlignment="1" applyProtection="1">
      <alignment horizontal="center" vertical="center" wrapText="1"/>
    </xf>
    <xf numFmtId="165" fontId="8" fillId="11" borderId="12" xfId="22" applyFont="1" applyFill="1" applyBorder="1" applyAlignment="1" applyProtection="1">
      <alignment horizontal="center" vertical="center" wrapText="1"/>
    </xf>
    <xf numFmtId="0" fontId="9" fillId="21" borderId="13" xfId="0" applyFont="1" applyFill="1" applyBorder="1" applyAlignment="1">
      <alignment horizontal="center" vertical="center" wrapText="1"/>
    </xf>
    <xf numFmtId="0" fontId="9" fillId="21" borderId="1" xfId="0" applyFont="1" applyFill="1" applyBorder="1" applyAlignment="1">
      <alignment horizontal="center" vertical="center" wrapText="1"/>
    </xf>
    <xf numFmtId="0" fontId="7" fillId="21" borderId="2" xfId="0" applyFont="1" applyFill="1" applyBorder="1" applyAlignment="1">
      <alignment horizontal="center" vertical="center" wrapText="1"/>
    </xf>
    <xf numFmtId="0" fontId="7" fillId="21" borderId="11" xfId="0" applyFont="1" applyFill="1" applyBorder="1" applyAlignment="1">
      <alignment horizontal="center" vertical="center" wrapText="1"/>
    </xf>
    <xf numFmtId="0" fontId="8" fillId="11" borderId="17" xfId="0" applyFont="1" applyFill="1" applyBorder="1" applyAlignment="1">
      <alignment horizontal="center" vertical="center" wrapText="1"/>
    </xf>
    <xf numFmtId="0" fontId="8" fillId="11" borderId="18" xfId="0" applyFont="1" applyFill="1" applyBorder="1" applyAlignment="1">
      <alignment horizontal="center" vertical="center" wrapText="1"/>
    </xf>
    <xf numFmtId="0" fontId="8" fillId="11" borderId="10" xfId="0" applyFont="1" applyFill="1" applyBorder="1" applyAlignment="1">
      <alignment horizontal="center" vertical="center" wrapText="1"/>
    </xf>
    <xf numFmtId="165" fontId="8" fillId="11" borderId="14" xfId="22" applyFont="1" applyFill="1" applyBorder="1" applyAlignment="1" applyProtection="1">
      <alignment horizontal="center" vertical="center" wrapText="1"/>
    </xf>
    <xf numFmtId="0" fontId="8" fillId="11" borderId="13" xfId="0" applyFont="1" applyFill="1" applyBorder="1" applyAlignment="1">
      <alignment horizontal="center" vertical="center" wrapText="1"/>
    </xf>
    <xf numFmtId="0" fontId="22" fillId="0" borderId="30"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16" xfId="0" applyFont="1" applyBorder="1" applyAlignment="1">
      <alignment horizontal="center" vertical="center" wrapText="1"/>
    </xf>
    <xf numFmtId="0" fontId="13" fillId="0" borderId="16" xfId="0" applyFont="1" applyBorder="1" applyAlignment="1">
      <alignment horizontal="left" vertical="center" wrapText="1"/>
    </xf>
    <xf numFmtId="0" fontId="23" fillId="0" borderId="1" xfId="0" applyFont="1" applyBorder="1" applyAlignment="1">
      <alignment horizontal="center" vertical="center" wrapText="1"/>
    </xf>
    <xf numFmtId="165" fontId="13" fillId="0" borderId="1" xfId="22" applyFont="1" applyBorder="1" applyAlignment="1" applyProtection="1">
      <alignment horizontal="center" vertical="center" wrapText="1"/>
    </xf>
    <xf numFmtId="165" fontId="13" fillId="0" borderId="25" xfId="22" applyFont="1" applyBorder="1" applyAlignment="1" applyProtection="1">
      <alignment horizontal="center" vertical="center" wrapText="1"/>
    </xf>
    <xf numFmtId="0" fontId="13" fillId="12" borderId="14" xfId="13" applyFont="1" applyFill="1" applyBorder="1" applyAlignment="1">
      <alignment horizontal="center" vertical="center" wrapText="1"/>
    </xf>
    <xf numFmtId="0" fontId="23" fillId="13" borderId="1" xfId="13" applyFont="1" applyFill="1" applyBorder="1" applyAlignment="1">
      <alignment horizontal="center" vertical="center" wrapText="1"/>
    </xf>
    <xf numFmtId="0" fontId="4" fillId="13" borderId="1" xfId="13" applyFont="1" applyFill="1" applyBorder="1" applyAlignment="1">
      <alignment horizontal="center" vertical="center" wrapText="1"/>
    </xf>
    <xf numFmtId="0" fontId="13" fillId="12" borderId="1" xfId="13" applyFont="1" applyFill="1" applyBorder="1" applyAlignment="1">
      <alignment horizontal="center" vertical="center" wrapText="1"/>
    </xf>
    <xf numFmtId="0" fontId="0" fillId="0" borderId="0" xfId="0" applyAlignment="1">
      <alignment horizontal="center" vertical="center"/>
    </xf>
    <xf numFmtId="0" fontId="28" fillId="2" borderId="32" xfId="16" applyFont="1" applyFill="1" applyBorder="1" applyAlignment="1">
      <alignment horizontal="center" vertical="center" wrapText="1"/>
    </xf>
    <xf numFmtId="0" fontId="30" fillId="18" borderId="33" xfId="16" applyFont="1" applyFill="1" applyBorder="1" applyAlignment="1">
      <alignment horizontal="left" vertical="center" wrapText="1"/>
    </xf>
    <xf numFmtId="0" fontId="31" fillId="18" borderId="25" xfId="16" applyFont="1" applyFill="1" applyBorder="1" applyAlignment="1">
      <alignment horizontal="left" vertical="center"/>
    </xf>
    <xf numFmtId="0" fontId="30" fillId="18" borderId="25" xfId="16" applyFont="1" applyFill="1" applyBorder="1" applyAlignment="1">
      <alignment horizontal="left" vertical="center" wrapText="1"/>
    </xf>
    <xf numFmtId="49" fontId="30" fillId="18" borderId="28" xfId="16" applyNumberFormat="1" applyFont="1" applyFill="1" applyBorder="1" applyAlignment="1">
      <alignment horizontal="left" vertical="center" wrapText="1"/>
    </xf>
    <xf numFmtId="0" fontId="29" fillId="18" borderId="32" xfId="16" applyFont="1" applyFill="1" applyBorder="1" applyAlignment="1">
      <alignment vertical="center" wrapText="1"/>
    </xf>
    <xf numFmtId="164" fontId="32" fillId="16" borderId="36" xfId="10" applyFont="1" applyFill="1" applyBorder="1" applyAlignment="1" applyProtection="1">
      <alignment horizontal="right" vertical="center" wrapText="1"/>
    </xf>
    <xf numFmtId="0" fontId="29" fillId="10" borderId="35" xfId="16" applyFont="1" applyFill="1" applyBorder="1" applyAlignment="1">
      <alignment horizontal="right" vertical="center" wrapText="1"/>
    </xf>
    <xf numFmtId="0" fontId="29" fillId="10" borderId="36" xfId="16" applyFont="1" applyFill="1" applyBorder="1" applyAlignment="1">
      <alignment horizontal="right" vertical="center" wrapText="1"/>
    </xf>
    <xf numFmtId="0" fontId="29" fillId="10" borderId="34" xfId="16" applyFont="1" applyFill="1" applyBorder="1" applyAlignment="1">
      <alignment vertical="center" wrapText="1"/>
    </xf>
    <xf numFmtId="0" fontId="29" fillId="10" borderId="35" xfId="16" applyFont="1" applyFill="1" applyBorder="1" applyAlignment="1">
      <alignment horizontal="center" vertical="center" wrapText="1"/>
    </xf>
    <xf numFmtId="0" fontId="30" fillId="10" borderId="11" xfId="16" applyFont="1" applyFill="1" applyBorder="1" applyAlignment="1">
      <alignment horizontal="left" vertical="center" wrapText="1"/>
    </xf>
    <xf numFmtId="0" fontId="33" fillId="18" borderId="25" xfId="16" applyFont="1" applyFill="1" applyBorder="1" applyAlignment="1">
      <alignment horizontal="left" vertical="center" wrapText="1"/>
    </xf>
    <xf numFmtId="0" fontId="29" fillId="18" borderId="43" xfId="16" applyFont="1" applyFill="1" applyBorder="1" applyAlignment="1">
      <alignment vertical="center" wrapText="1"/>
    </xf>
    <xf numFmtId="10" fontId="38" fillId="0" borderId="1" xfId="18" applyNumberFormat="1" applyFont="1" applyBorder="1" applyAlignment="1" applyProtection="1">
      <alignment horizontal="center" vertical="center" wrapText="1"/>
    </xf>
    <xf numFmtId="0" fontId="26" fillId="19" borderId="1" xfId="15" applyFont="1" applyFill="1" applyBorder="1" applyAlignment="1">
      <alignment horizontal="center" vertical="center" wrapText="1"/>
    </xf>
    <xf numFmtId="165" fontId="26" fillId="19" borderId="1" xfId="21" applyFont="1" applyFill="1" applyBorder="1" applyAlignment="1" applyProtection="1">
      <alignment horizontal="center" vertical="center" wrapText="1"/>
    </xf>
    <xf numFmtId="0" fontId="39" fillId="9" borderId="0" xfId="0" applyFont="1" applyFill="1" applyAlignment="1">
      <alignment horizontal="center"/>
    </xf>
  </cellXfs>
  <cellStyles count="25">
    <cellStyle name="60% - Ênfase1 2" xfId="3" xr:uid="{00000000-0005-0000-0000-000006000000}"/>
    <cellStyle name="60% - Ênfase2 2" xfId="4" xr:uid="{00000000-0005-0000-0000-000007000000}"/>
    <cellStyle name="60% - Ênfase3 2" xfId="5" xr:uid="{00000000-0005-0000-0000-000008000000}"/>
    <cellStyle name="60% - Ênfase4 2" xfId="6" xr:uid="{00000000-0005-0000-0000-000009000000}"/>
    <cellStyle name="60% - Ênfase5 2" xfId="7" xr:uid="{00000000-0005-0000-0000-00000A000000}"/>
    <cellStyle name="60% - Ênfase6 2" xfId="8" xr:uid="{00000000-0005-0000-0000-00000B000000}"/>
    <cellStyle name="Moeda" xfId="1" builtinId="4"/>
    <cellStyle name="Moeda 2" xfId="9" xr:uid="{00000000-0005-0000-0000-00000C000000}"/>
    <cellStyle name="Moeda 2 2" xfId="10" xr:uid="{00000000-0005-0000-0000-00000D000000}"/>
    <cellStyle name="Neutro 2" xfId="11" xr:uid="{00000000-0005-0000-0000-00000E000000}"/>
    <cellStyle name="Normal" xfId="0" builtinId="0"/>
    <cellStyle name="Normal 11 2" xfId="12" xr:uid="{00000000-0005-0000-0000-00000F000000}"/>
    <cellStyle name="Normal 2" xfId="13" xr:uid="{00000000-0005-0000-0000-000010000000}"/>
    <cellStyle name="Normal 2 2" xfId="14" xr:uid="{00000000-0005-0000-0000-000011000000}"/>
    <cellStyle name="Normal 2 3" xfId="15" xr:uid="{00000000-0005-0000-0000-000012000000}"/>
    <cellStyle name="Normal 2 4" xfId="16" xr:uid="{00000000-0005-0000-0000-000013000000}"/>
    <cellStyle name="Normal 3" xfId="17" xr:uid="{00000000-0005-0000-0000-000014000000}"/>
    <cellStyle name="Normal 4" xfId="23" xr:uid="{1C26DA3D-ABF9-4C78-8C33-CD534ABEC3B1}"/>
    <cellStyle name="Porcentagem" xfId="2" builtinId="5"/>
    <cellStyle name="Porcentagem 2" xfId="18" xr:uid="{00000000-0005-0000-0000-000015000000}"/>
    <cellStyle name="Porcentagem 2 2" xfId="19" xr:uid="{00000000-0005-0000-0000-000016000000}"/>
    <cellStyle name="Porcentagem 3" xfId="20" xr:uid="{00000000-0005-0000-0000-000017000000}"/>
    <cellStyle name="Vírgula" xfId="24" builtinId="3"/>
    <cellStyle name="Vírgula 2" xfId="21" xr:uid="{00000000-0005-0000-0000-000018000000}"/>
    <cellStyle name="Vírgula 3" xfId="22" xr:uid="{00000000-0005-0000-0000-000019000000}"/>
  </cellStyles>
  <dxfs count="3">
    <dxf>
      <numFmt numFmtId="0" formatCode="General"/>
      <fill>
        <patternFill>
          <bgColor theme="6" tint="-0.249977111117893"/>
        </patternFill>
      </fill>
    </dxf>
    <dxf>
      <font>
        <color rgb="FF0000FF"/>
      </font>
      <numFmt numFmtId="0" formatCode="General"/>
    </dxf>
    <dxf>
      <font>
        <color rgb="FF9C0006"/>
      </font>
      <fill>
        <patternFill>
          <bgColor rgb="FFFFC7CE"/>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9C6500"/>
      <rgbColor rgb="FF800080"/>
      <rgbColor rgb="FF008080"/>
      <rgbColor rgb="FFC0C0C0"/>
      <rgbColor rgb="FF7C7C7C"/>
      <rgbColor rgb="FF8FAADC"/>
      <rgbColor rgb="FF993366"/>
      <rgbColor rgb="FFF2F2F2"/>
      <rgbColor rgb="FFD8ECF6"/>
      <rgbColor rgb="FF660066"/>
      <rgbColor rgb="FFDBDBDB"/>
      <rgbColor rgb="FF0066CC"/>
      <rgbColor rgb="FFBDD7EE"/>
      <rgbColor rgb="FF000080"/>
      <rgbColor rgb="FFFF00FF"/>
      <rgbColor rgb="FFE2EFDA"/>
      <rgbColor rgb="FF00FFFF"/>
      <rgbColor rgb="FF800080"/>
      <rgbColor rgb="FF800000"/>
      <rgbColor rgb="FF008080"/>
      <rgbColor rgb="FF0000FF"/>
      <rgbColor rgb="FF00CCFF"/>
      <rgbColor rgb="FFE2F0D9"/>
      <rgbColor rgb="FFDFF0D8"/>
      <rgbColor rgb="FFFFEB9C"/>
      <rgbColor rgb="FF9DC3E6"/>
      <rgbColor rgb="FFF4B183"/>
      <rgbColor rgb="FFC9C9C9"/>
      <rgbColor rgb="FFFFD966"/>
      <rgbColor rgb="FF3366FF"/>
      <rgbColor rgb="FF33CCCC"/>
      <rgbColor rgb="FFEDEDED"/>
      <rgbColor rgb="FFD9D9D9"/>
      <rgbColor rgb="FFFF9900"/>
      <rgbColor rgb="FFFF6600"/>
      <rgbColor rgb="FF666699"/>
      <rgbColor rgb="FFA9D18E"/>
      <rgbColor rgb="FF003366"/>
      <rgbColor rgb="FF00B050"/>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2694877</xdr:colOff>
      <xdr:row>743</xdr:row>
      <xdr:rowOff>2334786</xdr:rowOff>
    </xdr:from>
    <xdr:to>
      <xdr:col>17</xdr:col>
      <xdr:colOff>61651</xdr:colOff>
      <xdr:row>745</xdr:row>
      <xdr:rowOff>75671</xdr:rowOff>
    </xdr:to>
    <xdr:sp macro="" textlink="">
      <xdr:nvSpPr>
        <xdr:cNvPr id="9" name="CaixaDeTexto 3">
          <a:extLst>
            <a:ext uri="{FF2B5EF4-FFF2-40B4-BE49-F238E27FC236}">
              <a16:creationId xmlns:a16="http://schemas.microsoft.com/office/drawing/2014/main" id="{F22780BF-5F09-424C-A4D1-0060939C3E7C}"/>
            </a:ext>
          </a:extLst>
        </xdr:cNvPr>
        <xdr:cNvSpPr/>
      </xdr:nvSpPr>
      <xdr:spPr>
        <a:xfrm>
          <a:off x="5436218" y="311421036"/>
          <a:ext cx="6787232" cy="1063019"/>
        </a:xfrm>
        <a:prstGeom prst="rect">
          <a:avLst/>
        </a:prstGeom>
        <a:noFill/>
        <a:ln w="9525">
          <a:noFill/>
        </a:ln>
        <a:effectLst/>
      </xdr:spPr>
      <xdr:txBody>
        <a:bodyPr vertOverflow="clip" horzOverflow="clip" lIns="90000" tIns="45000" rIns="90000" bIns="45000" anchor="t">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pt-BR" sz="1200" b="0" i="0" u="none" strike="noStrike" kern="0" cap="none" spc="-1" normalizeH="0" baseline="0" noProof="0">
              <a:ln>
                <a:noFill/>
              </a:ln>
              <a:solidFill>
                <a:srgbClr val="000000"/>
              </a:solidFill>
              <a:effectLst/>
              <a:uLnTx/>
              <a:uFillTx/>
              <a:latin typeface="Calibri"/>
              <a:ea typeface="+mn-ea"/>
              <a:cs typeface="+mn-cs"/>
            </a:rPr>
            <a:t>____________________________________________________                                                                                                             Jackson Araújo Carmo</a:t>
          </a:r>
          <a:endParaRPr kumimoji="0" lang="en-US" sz="1200" b="0" i="0" u="none" strike="noStrike" kern="0" cap="none" spc="-1" normalizeH="0" baseline="0" noProof="0">
            <a:ln>
              <a:noFill/>
            </a:ln>
            <a:solidFill>
              <a:sysClr val="windowText" lastClr="000000"/>
            </a:solidFill>
            <a:effectLst/>
            <a:uLnTx/>
            <a:uFillTx/>
            <a:latin typeface="Times New Roman"/>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pt-BR" sz="1200" b="0" i="0" u="none" strike="noStrike" kern="0" cap="none" spc="-1" normalizeH="0" baseline="0" noProof="0">
              <a:ln>
                <a:noFill/>
              </a:ln>
              <a:solidFill>
                <a:srgbClr val="000000"/>
              </a:solidFill>
              <a:effectLst/>
              <a:uLnTx/>
              <a:uFillTx/>
              <a:latin typeface="Calibri"/>
              <a:ea typeface="+mn-ea"/>
              <a:cs typeface="+mn-cs"/>
            </a:rPr>
            <a:t>Engenheiro Civil</a:t>
          </a:r>
          <a:br>
            <a:rPr kumimoji="0" sz="1800" b="0" i="0" u="none" strike="noStrike" kern="0" cap="none" spc="0" normalizeH="0" baseline="0" noProof="0">
              <a:ln>
                <a:noFill/>
              </a:ln>
              <a:solidFill>
                <a:sysClr val="windowText" lastClr="000000"/>
              </a:solidFill>
              <a:effectLst/>
              <a:uLnTx/>
              <a:uFillTx/>
              <a:latin typeface="Calibri" panose="020F0502020204030204"/>
              <a:ea typeface="+mn-ea"/>
              <a:cs typeface="+mn-cs"/>
            </a:rPr>
          </a:br>
          <a:r>
            <a:rPr kumimoji="0" lang="pt-BR" sz="1200" b="0" i="0" u="none" strike="noStrike" kern="0" cap="none" spc="-1" normalizeH="0" baseline="0" noProof="0">
              <a:ln>
                <a:noFill/>
              </a:ln>
              <a:solidFill>
                <a:srgbClr val="000000"/>
              </a:solidFill>
              <a:effectLst/>
              <a:uLnTx/>
              <a:uFillTx/>
              <a:latin typeface="Calibri"/>
              <a:ea typeface="+mn-ea"/>
              <a:cs typeface="+mn-cs"/>
            </a:rPr>
            <a:t>CREA -MG: 72.693/D</a:t>
          </a:r>
          <a:endParaRPr kumimoji="0" lang="en-US" sz="1200" b="0" i="0" u="none" strike="noStrike" kern="0" cap="none" spc="-1" normalizeH="0" baseline="0" noProof="0">
            <a:ln>
              <a:noFill/>
            </a:ln>
            <a:solidFill>
              <a:sysClr val="windowText" lastClr="000000"/>
            </a:solidFill>
            <a:effectLst/>
            <a:uLnTx/>
            <a:uFillTx/>
            <a:latin typeface="Times New Roman"/>
            <a:ea typeface="+mn-ea"/>
            <a:cs typeface="+mn-cs"/>
          </a:endParaRPr>
        </a:p>
      </xdr:txBody>
    </xdr:sp>
    <xdr:clientData/>
  </xdr:twoCellAnchor>
  <xdr:twoCellAnchor>
    <xdr:from>
      <xdr:col>0</xdr:col>
      <xdr:colOff>175632</xdr:colOff>
      <xdr:row>743</xdr:row>
      <xdr:rowOff>2347797</xdr:rowOff>
    </xdr:from>
    <xdr:to>
      <xdr:col>4</xdr:col>
      <xdr:colOff>713535</xdr:colOff>
      <xdr:row>745</xdr:row>
      <xdr:rowOff>88682</xdr:rowOff>
    </xdr:to>
    <xdr:sp macro="" textlink="">
      <xdr:nvSpPr>
        <xdr:cNvPr id="11" name="CaixaDeTexto 3">
          <a:extLst>
            <a:ext uri="{FF2B5EF4-FFF2-40B4-BE49-F238E27FC236}">
              <a16:creationId xmlns:a16="http://schemas.microsoft.com/office/drawing/2014/main" id="{646272C3-F902-41C9-AAB9-14CA55D60647}"/>
            </a:ext>
          </a:extLst>
        </xdr:cNvPr>
        <xdr:cNvSpPr/>
      </xdr:nvSpPr>
      <xdr:spPr>
        <a:xfrm>
          <a:off x="175632" y="311434047"/>
          <a:ext cx="6787232" cy="1063019"/>
        </a:xfrm>
        <a:prstGeom prst="rect">
          <a:avLst/>
        </a:prstGeom>
        <a:noFill/>
        <a:ln w="9525">
          <a:noFill/>
        </a:ln>
        <a:effectLst/>
      </xdr:spPr>
      <xdr:txBody>
        <a:bodyPr vertOverflow="clip" horzOverflow="clip" lIns="90000" tIns="45000" rIns="90000" bIns="45000" anchor="t">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pt-BR" sz="1200" b="0" i="0" u="none" strike="noStrike" kern="0" cap="none" spc="-1" normalizeH="0" baseline="0" noProof="0">
              <a:ln>
                <a:noFill/>
              </a:ln>
              <a:solidFill>
                <a:srgbClr val="000000"/>
              </a:solidFill>
              <a:effectLst/>
              <a:uLnTx/>
              <a:uFillTx/>
              <a:latin typeface="Calibri"/>
              <a:ea typeface="+mn-ea"/>
              <a:cs typeface="+mn-cs"/>
            </a:rPr>
            <a:t>____________________________________________________                                                                                                             Cácio Teixeira Branco </a:t>
          </a:r>
          <a:endParaRPr kumimoji="0" lang="en-US" sz="1200" b="0" i="0" u="none" strike="noStrike" kern="0" cap="none" spc="-1" normalizeH="0" baseline="0" noProof="0">
            <a:ln>
              <a:noFill/>
            </a:ln>
            <a:solidFill>
              <a:sysClr val="windowText" lastClr="000000"/>
            </a:solidFill>
            <a:effectLst/>
            <a:uLnTx/>
            <a:uFillTx/>
            <a:latin typeface="Times New Roman"/>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pt-BR" sz="1200" b="0" i="0" u="none" strike="noStrike" kern="0" cap="none" spc="-1" normalizeH="0" baseline="0" noProof="0">
              <a:ln>
                <a:noFill/>
              </a:ln>
              <a:solidFill>
                <a:srgbClr val="000000"/>
              </a:solidFill>
              <a:effectLst/>
              <a:uLnTx/>
              <a:uFillTx/>
              <a:latin typeface="Calibri"/>
              <a:ea typeface="+mn-ea"/>
              <a:cs typeface="+mn-cs"/>
            </a:rPr>
            <a:t>Engenheiro Civil</a:t>
          </a:r>
          <a:br>
            <a:rPr kumimoji="0" sz="1800" b="0" i="0" u="none" strike="noStrike" kern="0" cap="none" spc="0" normalizeH="0" baseline="0" noProof="0">
              <a:ln>
                <a:noFill/>
              </a:ln>
              <a:solidFill>
                <a:sysClr val="windowText" lastClr="000000"/>
              </a:solidFill>
              <a:effectLst/>
              <a:uLnTx/>
              <a:uFillTx/>
              <a:latin typeface="Calibri" panose="020F0502020204030204"/>
              <a:ea typeface="+mn-ea"/>
              <a:cs typeface="+mn-cs"/>
            </a:rPr>
          </a:br>
          <a:r>
            <a:rPr kumimoji="0" lang="pt-BR" sz="1200" b="0" i="0" u="none" strike="noStrike" kern="0" cap="none" spc="-1" normalizeH="0" baseline="0" noProof="0">
              <a:ln>
                <a:noFill/>
              </a:ln>
              <a:solidFill>
                <a:srgbClr val="000000"/>
              </a:solidFill>
              <a:effectLst/>
              <a:uLnTx/>
              <a:uFillTx/>
              <a:latin typeface="Calibri"/>
              <a:ea typeface="+mn-ea"/>
              <a:cs typeface="+mn-cs"/>
            </a:rPr>
            <a:t>CREA -RS: 107.441/D</a:t>
          </a:r>
          <a:endParaRPr kumimoji="0" lang="en-US" sz="1200" b="0" i="0" u="none" strike="noStrike" kern="0" cap="none" spc="-1" normalizeH="0" baseline="0" noProof="0">
            <a:ln>
              <a:noFill/>
            </a:ln>
            <a:solidFill>
              <a:sysClr val="windowText" lastClr="000000"/>
            </a:solidFill>
            <a:effectLst/>
            <a:uLnTx/>
            <a:uFillTx/>
            <a:latin typeface="Times New Roman"/>
            <a:ea typeface="+mn-ea"/>
            <a:cs typeface="+mn-cs"/>
          </a:endParaRPr>
        </a:p>
      </xdr:txBody>
    </xdr:sp>
    <xdr:clientData/>
  </xdr:twoCellAnchor>
  <xdr:twoCellAnchor>
    <xdr:from>
      <xdr:col>5</xdr:col>
      <xdr:colOff>255548</xdr:colOff>
      <xdr:row>743</xdr:row>
      <xdr:rowOff>2346402</xdr:rowOff>
    </xdr:from>
    <xdr:to>
      <xdr:col>25</xdr:col>
      <xdr:colOff>171641</xdr:colOff>
      <xdr:row>745</xdr:row>
      <xdr:rowOff>87287</xdr:rowOff>
    </xdr:to>
    <xdr:sp macro="" textlink="">
      <xdr:nvSpPr>
        <xdr:cNvPr id="12" name="CaixaDeTexto 2">
          <a:extLst>
            <a:ext uri="{FF2B5EF4-FFF2-40B4-BE49-F238E27FC236}">
              <a16:creationId xmlns:a16="http://schemas.microsoft.com/office/drawing/2014/main" id="{B877E3CF-949F-430D-90BC-CE814F2BABDC}"/>
            </a:ext>
          </a:extLst>
        </xdr:cNvPr>
        <xdr:cNvSpPr/>
      </xdr:nvSpPr>
      <xdr:spPr>
        <a:xfrm>
          <a:off x="7422530" y="311432652"/>
          <a:ext cx="14040971" cy="1063019"/>
        </a:xfrm>
        <a:prstGeom prst="rect">
          <a:avLst/>
        </a:prstGeom>
        <a:noFill/>
        <a:ln w="9525">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t">
          <a:noAutofit/>
        </a:bodyPr>
        <a:lstStyle/>
        <a:p>
          <a:pPr algn="ctr">
            <a:lnSpc>
              <a:spcPct val="100000"/>
            </a:lnSpc>
          </a:pPr>
          <a:r>
            <a:rPr lang="pt-BR" sz="1200" b="0" strike="noStrike" spc="-1">
              <a:solidFill>
                <a:schemeClr val="dk1"/>
              </a:solidFill>
              <a:latin typeface="Calibri"/>
            </a:rPr>
            <a:t>____________________________________________________                             </a:t>
          </a:r>
          <a:endParaRPr lang="en-US" sz="1200" b="0" strike="noStrike" spc="-1">
            <a:latin typeface="Times New Roman"/>
          </a:endParaRPr>
        </a:p>
        <a:p>
          <a:pPr algn="ctr">
            <a:lnSpc>
              <a:spcPct val="100000"/>
            </a:lnSpc>
          </a:pPr>
          <a:r>
            <a:rPr lang="pt-BR" sz="1200" b="0" strike="noStrike" spc="-1">
              <a:solidFill>
                <a:schemeClr val="dk1"/>
              </a:solidFill>
              <a:latin typeface="Calibri"/>
            </a:rPr>
            <a:t>  Instituto Brasileiro de Gesttão e Pesquisa - IBGP                                                                                    </a:t>
          </a:r>
          <a:endParaRPr lang="en-US" sz="1200" b="0" strike="noStrike" spc="-1">
            <a:latin typeface="Times New Roman"/>
          </a:endParaRPr>
        </a:p>
        <a:p>
          <a:pPr algn="ctr">
            <a:lnSpc>
              <a:spcPct val="100000"/>
            </a:lnSpc>
          </a:pPr>
          <a:r>
            <a:rPr lang="pt-BR" sz="1200" b="0" strike="noStrike" spc="-1">
              <a:solidFill>
                <a:schemeClr val="dk1"/>
              </a:solidFill>
              <a:latin typeface="Calibri"/>
            </a:rPr>
            <a:t>CNPJ nº 13.761.170/0001-30                                                                                                                </a:t>
          </a:r>
          <a:endParaRPr lang="en-US" sz="1200" b="0" strike="noStrike" spc="-1">
            <a:latin typeface="Times New Roman"/>
          </a:endParaRPr>
        </a:p>
        <a:p>
          <a:pPr algn="ctr">
            <a:lnSpc>
              <a:spcPct val="100000"/>
            </a:lnSpc>
          </a:pPr>
          <a:r>
            <a:rPr lang="pt-BR" sz="1200" b="0" strike="noStrike" spc="-1">
              <a:solidFill>
                <a:schemeClr val="dk1"/>
              </a:solidFill>
              <a:latin typeface="Calibri"/>
            </a:rPr>
            <a:t>Bruno Rafaelle</a:t>
          </a:r>
          <a:r>
            <a:rPr lang="pt-BR" sz="1200" b="0" strike="noStrike" spc="-1" baseline="0">
              <a:solidFill>
                <a:schemeClr val="dk1"/>
              </a:solidFill>
              <a:latin typeface="Calibri"/>
            </a:rPr>
            <a:t> Monte</a:t>
          </a:r>
          <a:endParaRPr lang="en-US" sz="1200" b="0" strike="noStrike" spc="-1">
            <a:latin typeface="Times New Roman"/>
          </a:endParaRPr>
        </a:p>
        <a:p>
          <a:pPr algn="ctr">
            <a:lnSpc>
              <a:spcPct val="100000"/>
            </a:lnSpc>
          </a:pPr>
          <a:endParaRPr lang="en-US" sz="1200" b="0" strike="noStrike" spc="-1">
            <a:latin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1042560</xdr:colOff>
      <xdr:row>1</xdr:row>
      <xdr:rowOff>20520</xdr:rowOff>
    </xdr:from>
    <xdr:to>
      <xdr:col>10</xdr:col>
      <xdr:colOff>444960</xdr:colOff>
      <xdr:row>1</xdr:row>
      <xdr:rowOff>249480</xdr:rowOff>
    </xdr:to>
    <xdr:sp macro="" textlink="">
      <xdr:nvSpPr>
        <xdr:cNvPr id="2" name="CaixaDeTexto 1">
          <a:extLst>
            <a:ext uri="{FF2B5EF4-FFF2-40B4-BE49-F238E27FC236}">
              <a16:creationId xmlns:a16="http://schemas.microsoft.com/office/drawing/2014/main" id="{00000000-0008-0000-1500-000002000000}"/>
            </a:ext>
          </a:extLst>
        </xdr:cNvPr>
        <xdr:cNvSpPr/>
      </xdr:nvSpPr>
      <xdr:spPr>
        <a:xfrm>
          <a:off x="7416720" y="270720"/>
          <a:ext cx="4067640" cy="228960"/>
        </a:xfrm>
        <a:prstGeom prst="rect">
          <a:avLst/>
        </a:prstGeom>
        <a:solidFill>
          <a:srgbClr val="FFFFFF"/>
        </a:solidFill>
        <a:ln w="0">
          <a:noFill/>
        </a:ln>
      </xdr:spPr>
      <xdr:style>
        <a:lnRef idx="0">
          <a:scrgbClr r="0" g="0" b="0"/>
        </a:lnRef>
        <a:fillRef idx="0">
          <a:scrgbClr r="0" g="0" b="0"/>
        </a:fillRef>
        <a:effectRef idx="0">
          <a:scrgbClr r="0" g="0" b="0"/>
        </a:effectRef>
        <a:fontRef idx="minor"/>
      </xdr:style>
      <xdr:txBody>
        <a:bodyPr vertOverflow="clip" horzOverflow="clip" wrap="none" lIns="0" tIns="0" rIns="0" bIns="0" anchor="t">
          <a:spAutoFit/>
        </a:bodyPr>
        <a:lstStyle/>
        <a:p>
          <a:pPr>
            <a:lnSpc>
              <a:spcPct val="100000"/>
            </a:lnSpc>
          </a:pPr>
          <a:r>
            <a:rPr lang="pt-BR" sz="1800" b="0" strike="noStrike" spc="-1">
              <a:solidFill>
                <a:schemeClr val="dk1"/>
              </a:solidFill>
              <a:latin typeface="Cambria Math"/>
            </a:rPr>
            <a:t>𝐵𝐷𝐼=(1+(𝐴+𝐵+𝐷+𝐸+𝐹))/((1−𝐶))−1</a:t>
          </a:r>
          <a:endParaRPr lang="en-US" sz="1800" b="0" strike="noStrike" spc="-1">
            <a:latin typeface="Times New Roman"/>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D:/Usu&#225;rio/Downloads/Detalhamento%20do%20%20BD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talhamento do BDI"/>
      <sheetName val="Auxiliar"/>
    </sheetNames>
    <sheetDataSet>
      <sheetData sheetId="0">
        <row r="9">
          <cell r="B9" t="str">
            <v>Sem Desoneração</v>
          </cell>
        </row>
        <row r="13">
          <cell r="B13" t="str">
            <v>Edificações</v>
          </cell>
        </row>
        <row r="17">
          <cell r="C17">
            <v>4.0599999999999996</v>
          </cell>
        </row>
        <row r="18">
          <cell r="C18">
            <v>8.19</v>
          </cell>
        </row>
        <row r="19">
          <cell r="C19">
            <v>1</v>
          </cell>
        </row>
        <row r="20">
          <cell r="C20">
            <v>0.61</v>
          </cell>
        </row>
        <row r="22">
          <cell r="C22">
            <v>8</v>
          </cell>
        </row>
        <row r="26">
          <cell r="C26">
            <v>7.65</v>
          </cell>
        </row>
        <row r="30">
          <cell r="C30">
            <v>0</v>
          </cell>
        </row>
        <row r="34">
          <cell r="C34">
            <v>0.3196</v>
          </cell>
        </row>
      </sheetData>
      <sheetData sheetId="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a1" displayName="Tabela1" ref="A2:E12" totalsRowShown="0">
  <autoFilter ref="A2:E12" xr:uid="{00000000-0009-0000-0100-000001000000}"/>
  <tableColumns count="5">
    <tableColumn id="1" xr3:uid="{00000000-0010-0000-0000-000001000000}" name="COMPONENTES"/>
    <tableColumn id="2" xr3:uid="{00000000-0010-0000-0000-000002000000}" name="1ª Faixa_x000a_(até R$330.000,00)"/>
    <tableColumn id="3" xr3:uid="{00000000-0010-0000-0000-000003000000}" name="2ª Faixa_x000a_(R$330.000,00 a_x000a_R$3.300.000,00)"/>
    <tableColumn id="4" xr3:uid="{00000000-0010-0000-0000-000004000000}" name="3ª Faixa_x000a_(R$3.300.000,00 a R$20.000.000,00)"/>
    <tableColumn id="5" xr3:uid="{00000000-0010-0000-0000-000005000000}" name="4ª Faixa_x000a_(R$20.000.000,00_x000a_em diante)"/>
  </tableColumns>
  <tableStyleInfo showFirstColumn="0" showLastColumn="0" showRowStripes="1" showColumnStripes="0"/>
</table>
</file>

<file path=xl/theme/theme1.xml><?xml version="1.0" encoding="utf-8"?>
<a:theme xmlns:a="http://schemas.openxmlformats.org/drawingml/2006/main" name="Tema do Office">
  <a:themeElements>
    <a:clrScheme name="Offic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753"/>
  <sheetViews>
    <sheetView tabSelected="1" view="pageBreakPreview" zoomScale="82" zoomScaleNormal="85" zoomScaleSheetLayoutView="82" zoomScalePageLayoutView="85" workbookViewId="0">
      <pane ySplit="8" topLeftCell="A12" activePane="bottomLeft" state="frozen"/>
      <selection pane="bottomLeft" activeCell="R18" sqref="R18"/>
    </sheetView>
  </sheetViews>
  <sheetFormatPr defaultColWidth="8.5703125" defaultRowHeight="15"/>
  <cols>
    <col min="1" max="1" width="13.42578125" style="1" customWidth="1"/>
    <col min="2" max="2" width="14" style="283" customWidth="1"/>
    <col min="3" max="3" width="13.7109375" style="283" customWidth="1"/>
    <col min="4" max="4" width="52.5703125" style="314" bestFit="1" customWidth="1"/>
    <col min="5" max="5" width="13.7109375" style="283" bestFit="1" customWidth="1"/>
    <col min="6" max="6" width="12.7109375" style="321" customWidth="1"/>
    <col min="7" max="7" width="18.5703125" style="1" customWidth="1"/>
    <col min="8" max="8" width="24" style="2" bestFit="1" customWidth="1"/>
    <col min="9" max="9" width="19.5703125" style="275" customWidth="1"/>
    <col min="10" max="10" width="18.140625" style="2" hidden="1" customWidth="1"/>
    <col min="11" max="11" width="17.28515625" style="2" hidden="1" customWidth="1"/>
    <col min="12" max="15" width="18.140625" style="2" hidden="1" customWidth="1"/>
    <col min="16" max="16" width="10.28515625" style="3" hidden="1" customWidth="1"/>
    <col min="17" max="17" width="21.42578125" style="2" hidden="1" customWidth="1"/>
    <col min="18" max="18" width="21.42578125" style="3" customWidth="1"/>
    <col min="19" max="19" width="21.42578125" style="2" customWidth="1"/>
    <col min="20" max="20" width="21.42578125" style="325" hidden="1" customWidth="1"/>
    <col min="21" max="21" width="21.42578125" style="2" hidden="1" customWidth="1"/>
    <col min="22" max="56" width="8.5703125" customWidth="1"/>
  </cols>
  <sheetData>
    <row r="1" spans="1:21" ht="15.75" customHeight="1">
      <c r="A1" s="370" t="s">
        <v>0</v>
      </c>
      <c r="B1" s="371"/>
      <c r="C1" s="371"/>
      <c r="D1" s="371"/>
      <c r="E1" s="371"/>
      <c r="F1" s="371"/>
      <c r="G1" s="371"/>
      <c r="H1" s="371"/>
      <c r="I1" s="371"/>
      <c r="J1" s="371"/>
      <c r="K1" s="371"/>
      <c r="L1" s="371"/>
      <c r="M1" s="371"/>
      <c r="N1" s="371"/>
      <c r="O1" s="371"/>
      <c r="P1" s="371"/>
      <c r="Q1" s="371"/>
      <c r="R1" s="353" t="s">
        <v>2552</v>
      </c>
      <c r="S1" s="354"/>
      <c r="T1" s="353" t="s">
        <v>3994</v>
      </c>
      <c r="U1" s="354"/>
    </row>
    <row r="2" spans="1:21" ht="15.75" customHeight="1" thickBot="1">
      <c r="A2" s="368" t="s">
        <v>3990</v>
      </c>
      <c r="B2" s="369"/>
      <c r="C2" s="369"/>
      <c r="D2" s="369"/>
      <c r="E2" s="369"/>
      <c r="F2" s="369"/>
      <c r="G2" s="369"/>
      <c r="H2" s="369"/>
      <c r="I2" s="369"/>
      <c r="J2" s="369"/>
      <c r="K2" s="369"/>
      <c r="L2" s="369"/>
      <c r="M2" s="369"/>
      <c r="N2" s="369"/>
      <c r="O2" s="369"/>
      <c r="P2" s="369"/>
      <c r="Q2" s="369"/>
      <c r="R2" s="355"/>
      <c r="S2" s="356"/>
      <c r="T2" s="355"/>
      <c r="U2" s="356"/>
    </row>
    <row r="3" spans="1:21" ht="15" customHeight="1">
      <c r="A3" s="368"/>
      <c r="B3" s="369"/>
      <c r="C3" s="369"/>
      <c r="D3" s="369"/>
      <c r="E3" s="369"/>
      <c r="F3" s="369"/>
      <c r="G3" s="369"/>
      <c r="H3" s="369"/>
      <c r="I3" s="369"/>
      <c r="J3" s="369"/>
      <c r="K3" s="369"/>
      <c r="L3" s="369"/>
      <c r="M3" s="369"/>
      <c r="N3" s="369"/>
      <c r="O3" s="369"/>
      <c r="P3" s="369"/>
      <c r="Q3" s="369"/>
      <c r="R3" s="353">
        <f>S741</f>
        <v>2600653.5474567991</v>
      </c>
      <c r="S3" s="354"/>
      <c r="T3" s="353">
        <f>U741</f>
        <v>38327638.590838224</v>
      </c>
      <c r="U3" s="354"/>
    </row>
    <row r="4" spans="1:21" ht="15" customHeight="1">
      <c r="A4" s="368"/>
      <c r="B4" s="369"/>
      <c r="C4" s="369"/>
      <c r="D4" s="369"/>
      <c r="E4" s="369"/>
      <c r="F4" s="369"/>
      <c r="G4" s="369"/>
      <c r="H4" s="369"/>
      <c r="I4" s="369"/>
      <c r="J4" s="369"/>
      <c r="K4" s="369"/>
      <c r="L4" s="369"/>
      <c r="M4" s="369"/>
      <c r="N4" s="369"/>
      <c r="O4" s="369"/>
      <c r="P4" s="369"/>
      <c r="Q4" s="369"/>
      <c r="R4" s="357"/>
      <c r="S4" s="358"/>
      <c r="T4" s="357"/>
      <c r="U4" s="358"/>
    </row>
    <row r="5" spans="1:21" ht="15.75" customHeight="1" thickBot="1">
      <c r="A5" s="368"/>
      <c r="B5" s="369"/>
      <c r="C5" s="369"/>
      <c r="D5" s="369"/>
      <c r="E5" s="369"/>
      <c r="F5" s="369"/>
      <c r="G5" s="369"/>
      <c r="H5" s="369"/>
      <c r="I5" s="369"/>
      <c r="J5" s="369"/>
      <c r="K5" s="369"/>
      <c r="L5" s="369"/>
      <c r="M5" s="369"/>
      <c r="N5" s="369"/>
      <c r="O5" s="369"/>
      <c r="P5" s="369"/>
      <c r="Q5" s="369"/>
      <c r="R5" s="355"/>
      <c r="S5" s="356"/>
      <c r="T5" s="355"/>
      <c r="U5" s="356"/>
    </row>
    <row r="6" spans="1:21" ht="15.75" customHeight="1" thickBot="1">
      <c r="A6" s="372" t="s">
        <v>3988</v>
      </c>
      <c r="B6" s="372"/>
      <c r="C6" s="372"/>
      <c r="D6" s="372"/>
      <c r="E6" s="372"/>
      <c r="F6" s="372"/>
      <c r="G6" s="373" t="s">
        <v>3991</v>
      </c>
      <c r="H6" s="373"/>
      <c r="I6" s="373"/>
      <c r="J6" s="375" t="s">
        <v>2553</v>
      </c>
      <c r="K6" s="375"/>
      <c r="L6" s="375"/>
      <c r="M6" s="375"/>
      <c r="N6" s="375"/>
      <c r="O6" s="375"/>
      <c r="P6" s="366" t="s">
        <v>2</v>
      </c>
      <c r="Q6" s="366"/>
      <c r="R6" s="359" t="s">
        <v>3992</v>
      </c>
      <c r="S6" s="359"/>
      <c r="T6" s="359" t="s">
        <v>3995</v>
      </c>
      <c r="U6" s="360"/>
    </row>
    <row r="7" spans="1:21" ht="15" customHeight="1">
      <c r="A7" s="376" t="s">
        <v>3989</v>
      </c>
      <c r="B7" s="376"/>
      <c r="C7" s="376"/>
      <c r="D7" s="376"/>
      <c r="E7" s="376"/>
      <c r="F7" s="376"/>
      <c r="G7" s="374"/>
      <c r="H7" s="374"/>
      <c r="I7" s="374"/>
      <c r="J7" s="375" t="s">
        <v>3</v>
      </c>
      <c r="K7" s="375"/>
      <c r="L7" s="375" t="s">
        <v>4</v>
      </c>
      <c r="M7" s="375"/>
      <c r="N7" s="375" t="s">
        <v>5</v>
      </c>
      <c r="O7" s="375"/>
      <c r="P7" s="367"/>
      <c r="Q7" s="367"/>
      <c r="R7" s="359"/>
      <c r="S7" s="359"/>
      <c r="T7" s="359"/>
      <c r="U7" s="360"/>
    </row>
    <row r="8" spans="1:21" ht="36.75" customHeight="1" thickBot="1">
      <c r="A8" s="6" t="s">
        <v>7</v>
      </c>
      <c r="B8" s="7" t="s">
        <v>9</v>
      </c>
      <c r="C8" s="7" t="s">
        <v>8</v>
      </c>
      <c r="D8" s="7" t="s">
        <v>10</v>
      </c>
      <c r="E8" s="7" t="s">
        <v>11</v>
      </c>
      <c r="F8" s="286" t="s">
        <v>12</v>
      </c>
      <c r="G8" s="7" t="s">
        <v>13</v>
      </c>
      <c r="H8" s="8" t="s">
        <v>14</v>
      </c>
      <c r="I8" s="308" t="s">
        <v>15</v>
      </c>
      <c r="J8" s="9" t="s">
        <v>12</v>
      </c>
      <c r="K8" s="10" t="s">
        <v>16</v>
      </c>
      <c r="L8" s="9" t="s">
        <v>12</v>
      </c>
      <c r="M8" s="10" t="s">
        <v>16</v>
      </c>
      <c r="N8" s="9" t="s">
        <v>12</v>
      </c>
      <c r="O8" s="10" t="s">
        <v>16</v>
      </c>
      <c r="P8" s="9" t="s">
        <v>12</v>
      </c>
      <c r="Q8" s="11" t="s">
        <v>16</v>
      </c>
      <c r="R8" s="304" t="s">
        <v>12</v>
      </c>
      <c r="S8" s="10" t="s">
        <v>16</v>
      </c>
      <c r="T8" s="304" t="s">
        <v>12</v>
      </c>
      <c r="U8" s="330" t="s">
        <v>16</v>
      </c>
    </row>
    <row r="9" spans="1:21" s="15" customFormat="1">
      <c r="A9" s="331">
        <v>1</v>
      </c>
      <c r="B9" s="351" t="s">
        <v>2555</v>
      </c>
      <c r="C9" s="351" t="s">
        <v>2554</v>
      </c>
      <c r="D9" s="351" t="s">
        <v>2555</v>
      </c>
      <c r="E9" s="351" t="s">
        <v>2554</v>
      </c>
      <c r="F9" s="351"/>
      <c r="G9" s="289"/>
      <c r="H9" s="289"/>
      <c r="I9" s="311"/>
      <c r="J9" s="289"/>
      <c r="K9" s="289"/>
      <c r="L9" s="289"/>
      <c r="M9" s="289"/>
      <c r="N9" s="289"/>
      <c r="O9" s="289"/>
      <c r="P9" s="289"/>
      <c r="Q9" s="289"/>
      <c r="R9" s="289"/>
      <c r="S9" s="289"/>
      <c r="T9" s="326"/>
      <c r="U9" s="332"/>
    </row>
    <row r="10" spans="1:21" s="15" customFormat="1">
      <c r="A10" s="331" t="s">
        <v>3392</v>
      </c>
      <c r="B10" s="351" t="s">
        <v>2556</v>
      </c>
      <c r="C10" s="351"/>
      <c r="D10" s="351"/>
      <c r="E10" s="351"/>
      <c r="F10" s="351"/>
      <c r="G10" s="289"/>
      <c r="H10" s="289"/>
      <c r="I10" s="311"/>
      <c r="J10" s="289"/>
      <c r="K10" s="289"/>
      <c r="L10" s="289"/>
      <c r="M10" s="289"/>
      <c r="N10" s="289"/>
      <c r="O10" s="289"/>
      <c r="P10" s="289"/>
      <c r="Q10" s="289"/>
      <c r="R10" s="289"/>
      <c r="S10" s="289"/>
      <c r="T10" s="326"/>
      <c r="U10" s="332"/>
    </row>
    <row r="11" spans="1:21" s="15" customFormat="1">
      <c r="A11" s="333" t="s">
        <v>3393</v>
      </c>
      <c r="B11" s="87" t="s">
        <v>133</v>
      </c>
      <c r="C11" s="87" t="s">
        <v>2557</v>
      </c>
      <c r="D11" s="290" t="s">
        <v>2558</v>
      </c>
      <c r="E11" s="87" t="s">
        <v>2559</v>
      </c>
      <c r="F11" s="284">
        <v>222</v>
      </c>
      <c r="G11" s="291">
        <v>26.83</v>
      </c>
      <c r="H11" s="291">
        <f t="shared" ref="H11:H31" si="0">ROUND((G11*F11),2)</f>
        <v>5956.26</v>
      </c>
      <c r="I11" s="309">
        <f>H11/$H$741</f>
        <v>1.4552916045958508E-4</v>
      </c>
      <c r="J11" s="291"/>
      <c r="K11" s="291"/>
      <c r="L11" s="291"/>
      <c r="M11" s="291"/>
      <c r="N11" s="291"/>
      <c r="O11" s="291"/>
      <c r="P11" s="291"/>
      <c r="Q11" s="291"/>
      <c r="R11" s="306">
        <v>60</v>
      </c>
      <c r="S11" s="291">
        <f>R11*G11</f>
        <v>1609.8</v>
      </c>
      <c r="T11" s="327">
        <f>F11-R11</f>
        <v>162</v>
      </c>
      <c r="U11" s="334">
        <f>T11*G11</f>
        <v>4346.46</v>
      </c>
    </row>
    <row r="12" spans="1:21" s="15" customFormat="1">
      <c r="A12" s="333" t="s">
        <v>3394</v>
      </c>
      <c r="B12" s="87" t="s">
        <v>133</v>
      </c>
      <c r="C12" s="87" t="s">
        <v>2560</v>
      </c>
      <c r="D12" s="290" t="s">
        <v>2561</v>
      </c>
      <c r="E12" s="87" t="s">
        <v>2559</v>
      </c>
      <c r="F12" s="284">
        <v>222</v>
      </c>
      <c r="G12" s="291">
        <v>13.56</v>
      </c>
      <c r="H12" s="291">
        <f t="shared" si="0"/>
        <v>3010.32</v>
      </c>
      <c r="I12" s="309">
        <f t="shared" ref="I12:I74" si="1">H12/$H$741</f>
        <v>7.3551077742526041E-5</v>
      </c>
      <c r="J12" s="291"/>
      <c r="K12" s="291"/>
      <c r="L12" s="291"/>
      <c r="M12" s="291"/>
      <c r="N12" s="291"/>
      <c r="O12" s="291"/>
      <c r="P12" s="291"/>
      <c r="Q12" s="291"/>
      <c r="R12" s="306">
        <v>60</v>
      </c>
      <c r="S12" s="291">
        <f t="shared" ref="S12:S31" si="2">R12*G12</f>
        <v>813.6</v>
      </c>
      <c r="T12" s="327">
        <f t="shared" ref="T12:T73" si="3">F12-R12</f>
        <v>162</v>
      </c>
      <c r="U12" s="334">
        <f t="shared" ref="U12:U73" si="4">T12*G12</f>
        <v>2196.7200000000003</v>
      </c>
    </row>
    <row r="13" spans="1:21" s="15" customFormat="1" ht="30">
      <c r="A13" s="333" t="s">
        <v>3395</v>
      </c>
      <c r="B13" s="87" t="s">
        <v>133</v>
      </c>
      <c r="C13" s="87">
        <v>98525</v>
      </c>
      <c r="D13" s="290" t="s">
        <v>2562</v>
      </c>
      <c r="E13" s="87" t="s">
        <v>2563</v>
      </c>
      <c r="F13" s="284">
        <v>20525.5</v>
      </c>
      <c r="G13" s="291">
        <v>0.87</v>
      </c>
      <c r="H13" s="291">
        <f t="shared" si="0"/>
        <v>17857.189999999999</v>
      </c>
      <c r="I13" s="309">
        <f t="shared" si="1"/>
        <v>4.3630430318140879E-4</v>
      </c>
      <c r="J13" s="291"/>
      <c r="K13" s="291"/>
      <c r="L13" s="291"/>
      <c r="M13" s="291"/>
      <c r="N13" s="291"/>
      <c r="O13" s="291"/>
      <c r="P13" s="291"/>
      <c r="Q13" s="291"/>
      <c r="R13" s="306">
        <v>20525.5</v>
      </c>
      <c r="S13" s="291">
        <f t="shared" si="2"/>
        <v>17857.185000000001</v>
      </c>
      <c r="T13" s="327">
        <f t="shared" si="3"/>
        <v>0</v>
      </c>
      <c r="U13" s="334">
        <f t="shared" si="4"/>
        <v>0</v>
      </c>
    </row>
    <row r="14" spans="1:21" s="15" customFormat="1">
      <c r="A14" s="333" t="s">
        <v>3396</v>
      </c>
      <c r="B14" s="87" t="s">
        <v>2564</v>
      </c>
      <c r="C14" s="87">
        <v>42225</v>
      </c>
      <c r="D14" s="290" t="s">
        <v>2565</v>
      </c>
      <c r="E14" s="87" t="s">
        <v>2274</v>
      </c>
      <c r="F14" s="284">
        <v>6050.96</v>
      </c>
      <c r="G14" s="291">
        <v>12.2</v>
      </c>
      <c r="H14" s="291">
        <f t="shared" si="0"/>
        <v>73821.710000000006</v>
      </c>
      <c r="I14" s="309">
        <f t="shared" si="1"/>
        <v>1.8036841037817283E-3</v>
      </c>
      <c r="J14" s="291"/>
      <c r="K14" s="291"/>
      <c r="L14" s="291"/>
      <c r="M14" s="291"/>
      <c r="N14" s="291"/>
      <c r="O14" s="291"/>
      <c r="P14" s="291"/>
      <c r="Q14" s="291"/>
      <c r="R14" s="306">
        <v>5550.96</v>
      </c>
      <c r="S14" s="291">
        <f t="shared" si="2"/>
        <v>67721.712</v>
      </c>
      <c r="T14" s="327">
        <f t="shared" si="3"/>
        <v>500</v>
      </c>
      <c r="U14" s="334">
        <f t="shared" si="4"/>
        <v>6100</v>
      </c>
    </row>
    <row r="15" spans="1:21" s="15" customFormat="1">
      <c r="A15" s="335" t="s">
        <v>3397</v>
      </c>
      <c r="B15" s="87" t="s">
        <v>2564</v>
      </c>
      <c r="C15" s="87">
        <v>42178</v>
      </c>
      <c r="D15" s="290" t="s">
        <v>2566</v>
      </c>
      <c r="E15" s="87" t="s">
        <v>2274</v>
      </c>
      <c r="F15" s="284">
        <v>3702.9500000000003</v>
      </c>
      <c r="G15" s="291">
        <v>11.06</v>
      </c>
      <c r="H15" s="291">
        <f t="shared" si="0"/>
        <v>40954.629999999997</v>
      </c>
      <c r="I15" s="309">
        <f t="shared" si="1"/>
        <v>1.0006435113364656E-3</v>
      </c>
      <c r="J15" s="291"/>
      <c r="K15" s="291"/>
      <c r="L15" s="291"/>
      <c r="M15" s="291"/>
      <c r="N15" s="291"/>
      <c r="O15" s="291"/>
      <c r="P15" s="291"/>
      <c r="Q15" s="291"/>
      <c r="R15" s="306">
        <v>0</v>
      </c>
      <c r="S15" s="291">
        <f t="shared" si="2"/>
        <v>0</v>
      </c>
      <c r="T15" s="327">
        <f t="shared" si="3"/>
        <v>3702.9500000000003</v>
      </c>
      <c r="U15" s="334">
        <f t="shared" si="4"/>
        <v>40954.627000000008</v>
      </c>
    </row>
    <row r="16" spans="1:21" s="15" customFormat="1" ht="30">
      <c r="A16" s="333" t="s">
        <v>3398</v>
      </c>
      <c r="B16" s="87" t="s">
        <v>2564</v>
      </c>
      <c r="C16" s="87">
        <v>40177</v>
      </c>
      <c r="D16" s="292" t="s">
        <v>2567</v>
      </c>
      <c r="E16" s="87" t="s">
        <v>2274</v>
      </c>
      <c r="F16" s="284">
        <v>5348.72</v>
      </c>
      <c r="G16" s="291">
        <v>7.17</v>
      </c>
      <c r="H16" s="291">
        <f t="shared" si="0"/>
        <v>38350.32</v>
      </c>
      <c r="I16" s="309">
        <f t="shared" si="1"/>
        <v>9.3701246637259536E-4</v>
      </c>
      <c r="J16" s="291"/>
      <c r="K16" s="291"/>
      <c r="L16" s="291"/>
      <c r="M16" s="291"/>
      <c r="N16" s="291"/>
      <c r="O16" s="291"/>
      <c r="P16" s="291"/>
      <c r="Q16" s="291"/>
      <c r="R16" s="306">
        <v>0</v>
      </c>
      <c r="S16" s="291">
        <f t="shared" si="2"/>
        <v>0</v>
      </c>
      <c r="T16" s="327">
        <f t="shared" si="3"/>
        <v>5348.72</v>
      </c>
      <c r="U16" s="334">
        <f t="shared" si="4"/>
        <v>38350.322400000005</v>
      </c>
    </row>
    <row r="17" spans="1:21" s="15" customFormat="1">
      <c r="A17" s="333" t="s">
        <v>3399</v>
      </c>
      <c r="B17" s="87" t="s">
        <v>2564</v>
      </c>
      <c r="C17" s="87">
        <v>40107</v>
      </c>
      <c r="D17" s="292" t="s">
        <v>2568</v>
      </c>
      <c r="E17" s="87" t="s">
        <v>2274</v>
      </c>
      <c r="F17" s="284">
        <v>5348.72</v>
      </c>
      <c r="G17" s="291">
        <v>9.83</v>
      </c>
      <c r="H17" s="291">
        <f t="shared" si="0"/>
        <v>52577.919999999998</v>
      </c>
      <c r="I17" s="309">
        <f t="shared" si="1"/>
        <v>1.2846350824697423E-3</v>
      </c>
      <c r="J17" s="291"/>
      <c r="K17" s="291"/>
      <c r="L17" s="291"/>
      <c r="M17" s="291"/>
      <c r="N17" s="291"/>
      <c r="O17" s="291"/>
      <c r="P17" s="291"/>
      <c r="Q17" s="291"/>
      <c r="R17" s="306">
        <v>4848.72</v>
      </c>
      <c r="S17" s="291">
        <f t="shared" si="2"/>
        <v>47662.917600000001</v>
      </c>
      <c r="T17" s="327">
        <f t="shared" si="3"/>
        <v>500</v>
      </c>
      <c r="U17" s="334">
        <f t="shared" si="4"/>
        <v>4915</v>
      </c>
    </row>
    <row r="18" spans="1:21" s="15" customFormat="1" ht="45.75" customHeight="1">
      <c r="A18" s="333" t="s">
        <v>3400</v>
      </c>
      <c r="B18" s="87" t="s">
        <v>2564</v>
      </c>
      <c r="C18" s="87">
        <v>41401</v>
      </c>
      <c r="D18" s="292" t="s">
        <v>2569</v>
      </c>
      <c r="E18" s="87" t="s">
        <v>2563</v>
      </c>
      <c r="F18" s="284">
        <v>1325.6790000000001</v>
      </c>
      <c r="G18" s="291">
        <v>8.15</v>
      </c>
      <c r="H18" s="291">
        <f t="shared" si="0"/>
        <v>10804.28</v>
      </c>
      <c r="I18" s="309">
        <f t="shared" si="1"/>
        <v>2.6398071907040422E-4</v>
      </c>
      <c r="J18" s="291"/>
      <c r="K18" s="291"/>
      <c r="L18" s="291"/>
      <c r="M18" s="291"/>
      <c r="N18" s="291"/>
      <c r="O18" s="291"/>
      <c r="P18" s="291"/>
      <c r="Q18" s="291"/>
      <c r="R18" s="306">
        <v>0</v>
      </c>
      <c r="S18" s="291">
        <f t="shared" si="2"/>
        <v>0</v>
      </c>
      <c r="T18" s="327">
        <f t="shared" si="3"/>
        <v>1325.6790000000001</v>
      </c>
      <c r="U18" s="334">
        <f t="shared" si="4"/>
        <v>10804.283850000002</v>
      </c>
    </row>
    <row r="19" spans="1:21" s="15" customFormat="1" ht="61.5" customHeight="1">
      <c r="A19" s="333" t="s">
        <v>3401</v>
      </c>
      <c r="B19" s="87" t="s">
        <v>2564</v>
      </c>
      <c r="C19" s="315">
        <v>42050</v>
      </c>
      <c r="D19" s="292" t="s">
        <v>2570</v>
      </c>
      <c r="E19" s="87" t="s">
        <v>2563</v>
      </c>
      <c r="F19" s="284">
        <v>1325.6790000000001</v>
      </c>
      <c r="G19" s="291">
        <v>191.57</v>
      </c>
      <c r="H19" s="291">
        <f t="shared" si="0"/>
        <v>253960.33</v>
      </c>
      <c r="I19" s="309">
        <f t="shared" si="1"/>
        <v>6.2050067684988859E-3</v>
      </c>
      <c r="J19" s="291"/>
      <c r="K19" s="291"/>
      <c r="L19" s="291"/>
      <c r="M19" s="291"/>
      <c r="N19" s="291"/>
      <c r="O19" s="291"/>
      <c r="P19" s="291"/>
      <c r="Q19" s="291"/>
      <c r="R19" s="306">
        <v>0</v>
      </c>
      <c r="S19" s="291">
        <f t="shared" si="2"/>
        <v>0</v>
      </c>
      <c r="T19" s="327">
        <f t="shared" si="3"/>
        <v>1325.6790000000001</v>
      </c>
      <c r="U19" s="334">
        <f t="shared" si="4"/>
        <v>253960.32603</v>
      </c>
    </row>
    <row r="20" spans="1:21" s="15" customFormat="1">
      <c r="A20" s="335" t="s">
        <v>3402</v>
      </c>
      <c r="B20" s="87" t="s">
        <v>2564</v>
      </c>
      <c r="C20" s="87">
        <v>42200</v>
      </c>
      <c r="D20" s="290" t="s">
        <v>2571</v>
      </c>
      <c r="E20" s="87" t="s">
        <v>2563</v>
      </c>
      <c r="F20" s="284">
        <v>1325.6790000000001</v>
      </c>
      <c r="G20" s="291">
        <v>10.3</v>
      </c>
      <c r="H20" s="291">
        <f t="shared" si="0"/>
        <v>13654.49</v>
      </c>
      <c r="I20" s="309">
        <f t="shared" si="1"/>
        <v>3.3361983294950186E-4</v>
      </c>
      <c r="J20" s="291"/>
      <c r="K20" s="291"/>
      <c r="L20" s="291"/>
      <c r="M20" s="291"/>
      <c r="N20" s="291"/>
      <c r="O20" s="291"/>
      <c r="P20" s="291"/>
      <c r="Q20" s="291"/>
      <c r="R20" s="306">
        <v>0</v>
      </c>
      <c r="S20" s="291">
        <f t="shared" si="2"/>
        <v>0</v>
      </c>
      <c r="T20" s="327">
        <f t="shared" si="3"/>
        <v>1325.6790000000001</v>
      </c>
      <c r="U20" s="334">
        <f t="shared" si="4"/>
        <v>13654.493700000003</v>
      </c>
    </row>
    <row r="21" spans="1:21" s="15" customFormat="1" ht="30">
      <c r="A21" s="333" t="s">
        <v>3403</v>
      </c>
      <c r="B21" s="87" t="s">
        <v>1810</v>
      </c>
      <c r="C21" s="87" t="s">
        <v>2572</v>
      </c>
      <c r="D21" s="290" t="s">
        <v>131</v>
      </c>
      <c r="E21" s="87" t="s">
        <v>2573</v>
      </c>
      <c r="F21" s="284">
        <v>232.57200000000006</v>
      </c>
      <c r="G21" s="291">
        <v>75.959999999999994</v>
      </c>
      <c r="H21" s="291">
        <f t="shared" si="0"/>
        <v>17666.169999999998</v>
      </c>
      <c r="I21" s="309">
        <f t="shared" si="1"/>
        <v>4.3163711601513496E-4</v>
      </c>
      <c r="J21" s="291"/>
      <c r="K21" s="291"/>
      <c r="L21" s="291"/>
      <c r="M21" s="291"/>
      <c r="N21" s="291"/>
      <c r="O21" s="291"/>
      <c r="P21" s="291"/>
      <c r="Q21" s="291"/>
      <c r="R21" s="306">
        <v>163.26000000000005</v>
      </c>
      <c r="S21" s="291">
        <f t="shared" si="2"/>
        <v>12401.229600000002</v>
      </c>
      <c r="T21" s="327">
        <f t="shared" si="3"/>
        <v>69.312000000000012</v>
      </c>
      <c r="U21" s="334">
        <f t="shared" si="4"/>
        <v>5264.9395200000008</v>
      </c>
    </row>
    <row r="22" spans="1:21" s="15" customFormat="1">
      <c r="A22" s="333" t="s">
        <v>3404</v>
      </c>
      <c r="B22" s="87" t="s">
        <v>1810</v>
      </c>
      <c r="C22" s="87" t="s">
        <v>2574</v>
      </c>
      <c r="D22" s="290" t="s">
        <v>2575</v>
      </c>
      <c r="E22" s="87" t="s">
        <v>2573</v>
      </c>
      <c r="F22" s="284">
        <v>452.80860000000007</v>
      </c>
      <c r="G22" s="291">
        <v>19.72</v>
      </c>
      <c r="H22" s="291">
        <f t="shared" si="0"/>
        <v>8929.39</v>
      </c>
      <c r="I22" s="309">
        <f t="shared" si="1"/>
        <v>2.1817157580700209E-4</v>
      </c>
      <c r="J22" s="291"/>
      <c r="K22" s="291"/>
      <c r="L22" s="291"/>
      <c r="M22" s="291"/>
      <c r="N22" s="291"/>
      <c r="O22" s="291"/>
      <c r="P22" s="291"/>
      <c r="Q22" s="291"/>
      <c r="R22" s="306">
        <v>452.80860000000007</v>
      </c>
      <c r="S22" s="291">
        <f t="shared" si="2"/>
        <v>8929.3855920000005</v>
      </c>
      <c r="T22" s="327">
        <f t="shared" si="3"/>
        <v>0</v>
      </c>
      <c r="U22" s="334">
        <f t="shared" si="4"/>
        <v>0</v>
      </c>
    </row>
    <row r="23" spans="1:21" s="15" customFormat="1">
      <c r="A23" s="333" t="s">
        <v>3405</v>
      </c>
      <c r="B23" s="87" t="s">
        <v>2564</v>
      </c>
      <c r="C23" s="87">
        <v>60022</v>
      </c>
      <c r="D23" s="292" t="s">
        <v>2576</v>
      </c>
      <c r="E23" s="87" t="s">
        <v>2577</v>
      </c>
      <c r="F23" s="284">
        <v>18772.731548800006</v>
      </c>
      <c r="G23" s="291">
        <v>30.31</v>
      </c>
      <c r="H23" s="291">
        <f t="shared" si="0"/>
        <v>569001.49</v>
      </c>
      <c r="I23" s="309">
        <f t="shared" si="1"/>
        <v>1.3902400019467416E-2</v>
      </c>
      <c r="J23" s="291"/>
      <c r="K23" s="291"/>
      <c r="L23" s="291"/>
      <c r="M23" s="291"/>
      <c r="N23" s="291"/>
      <c r="O23" s="291"/>
      <c r="P23" s="291"/>
      <c r="Q23" s="291"/>
      <c r="R23" s="322">
        <v>16729.602079999997</v>
      </c>
      <c r="S23" s="291">
        <f t="shared" si="2"/>
        <v>507074.23904479988</v>
      </c>
      <c r="T23" s="328">
        <f t="shared" si="3"/>
        <v>2043.1294688000089</v>
      </c>
      <c r="U23" s="334">
        <f t="shared" si="4"/>
        <v>61927.254199328265</v>
      </c>
    </row>
    <row r="24" spans="1:21" s="15" customFormat="1" ht="75">
      <c r="A24" s="333" t="s">
        <v>3406</v>
      </c>
      <c r="B24" s="87" t="s">
        <v>133</v>
      </c>
      <c r="C24" s="87" t="s">
        <v>2578</v>
      </c>
      <c r="D24" s="290" t="s">
        <v>2579</v>
      </c>
      <c r="E24" s="87" t="s">
        <v>48</v>
      </c>
      <c r="F24" s="284">
        <v>5</v>
      </c>
      <c r="G24" s="291">
        <v>1906.34</v>
      </c>
      <c r="H24" s="291">
        <f t="shared" si="0"/>
        <v>9531.7000000000007</v>
      </c>
      <c r="I24" s="309">
        <f t="shared" si="1"/>
        <v>2.3288780186772021E-4</v>
      </c>
      <c r="J24" s="291"/>
      <c r="K24" s="291"/>
      <c r="L24" s="291"/>
      <c r="M24" s="291"/>
      <c r="N24" s="291"/>
      <c r="O24" s="291"/>
      <c r="P24" s="291"/>
      <c r="Q24" s="291"/>
      <c r="R24" s="306">
        <v>0</v>
      </c>
      <c r="S24" s="291">
        <f t="shared" si="2"/>
        <v>0</v>
      </c>
      <c r="T24" s="327">
        <f t="shared" si="3"/>
        <v>5</v>
      </c>
      <c r="U24" s="334">
        <f t="shared" si="4"/>
        <v>9531.6999999999989</v>
      </c>
    </row>
    <row r="25" spans="1:21" s="15" customFormat="1" ht="30">
      <c r="A25" s="333" t="s">
        <v>3407</v>
      </c>
      <c r="B25" s="87" t="s">
        <v>133</v>
      </c>
      <c r="C25" s="87" t="s">
        <v>2580</v>
      </c>
      <c r="D25" s="290" t="s">
        <v>2581</v>
      </c>
      <c r="E25" s="87" t="s">
        <v>107</v>
      </c>
      <c r="F25" s="284">
        <v>49.1</v>
      </c>
      <c r="G25" s="291">
        <v>95.63</v>
      </c>
      <c r="H25" s="291">
        <f t="shared" si="0"/>
        <v>4695.43</v>
      </c>
      <c r="I25" s="309">
        <f t="shared" si="1"/>
        <v>1.1472333073048349E-4</v>
      </c>
      <c r="J25" s="291"/>
      <c r="K25" s="291"/>
      <c r="L25" s="291"/>
      <c r="M25" s="291"/>
      <c r="N25" s="291"/>
      <c r="O25" s="291"/>
      <c r="P25" s="291"/>
      <c r="Q25" s="291"/>
      <c r="R25" s="306"/>
      <c r="S25" s="291">
        <f t="shared" si="2"/>
        <v>0</v>
      </c>
      <c r="T25" s="327">
        <f t="shared" si="3"/>
        <v>49.1</v>
      </c>
      <c r="U25" s="334">
        <f t="shared" si="4"/>
        <v>4695.433</v>
      </c>
    </row>
    <row r="26" spans="1:21" s="15" customFormat="1" ht="30">
      <c r="A26" s="333" t="s">
        <v>3408</v>
      </c>
      <c r="B26" s="87" t="s">
        <v>133</v>
      </c>
      <c r="C26" s="87" t="s">
        <v>2582</v>
      </c>
      <c r="D26" s="290" t="s">
        <v>2583</v>
      </c>
      <c r="E26" s="87" t="s">
        <v>107</v>
      </c>
      <c r="F26" s="284">
        <v>177.9</v>
      </c>
      <c r="G26" s="291">
        <v>185.21</v>
      </c>
      <c r="H26" s="291">
        <f t="shared" si="0"/>
        <v>32948.86</v>
      </c>
      <c r="I26" s="309">
        <f t="shared" si="1"/>
        <v>8.0503872126139631E-4</v>
      </c>
      <c r="J26" s="291"/>
      <c r="K26" s="291"/>
      <c r="L26" s="291"/>
      <c r="M26" s="291"/>
      <c r="N26" s="291"/>
      <c r="O26" s="291"/>
      <c r="P26" s="291"/>
      <c r="Q26" s="291"/>
      <c r="R26" s="306"/>
      <c r="S26" s="291">
        <f t="shared" si="2"/>
        <v>0</v>
      </c>
      <c r="T26" s="327">
        <f t="shared" si="3"/>
        <v>177.9</v>
      </c>
      <c r="U26" s="334">
        <f t="shared" si="4"/>
        <v>32948.859000000004</v>
      </c>
    </row>
    <row r="27" spans="1:21" s="15" customFormat="1" ht="45">
      <c r="A27" s="333" t="s">
        <v>3409</v>
      </c>
      <c r="B27" s="87" t="s">
        <v>133</v>
      </c>
      <c r="C27" s="87" t="s">
        <v>2584</v>
      </c>
      <c r="D27" s="290" t="s">
        <v>2585</v>
      </c>
      <c r="E27" s="87" t="s">
        <v>1549</v>
      </c>
      <c r="F27" s="284">
        <v>13</v>
      </c>
      <c r="G27" s="291">
        <v>3059.7</v>
      </c>
      <c r="H27" s="291">
        <f t="shared" si="0"/>
        <v>39776.1</v>
      </c>
      <c r="I27" s="309">
        <f t="shared" si="1"/>
        <v>9.7184851557126481E-4</v>
      </c>
      <c r="J27" s="291"/>
      <c r="K27" s="291"/>
      <c r="L27" s="291"/>
      <c r="M27" s="291"/>
      <c r="N27" s="291"/>
      <c r="O27" s="291"/>
      <c r="P27" s="291"/>
      <c r="Q27" s="291"/>
      <c r="R27" s="306"/>
      <c r="S27" s="291">
        <f t="shared" si="2"/>
        <v>0</v>
      </c>
      <c r="T27" s="327">
        <f t="shared" si="3"/>
        <v>13</v>
      </c>
      <c r="U27" s="334">
        <f t="shared" si="4"/>
        <v>39776.1</v>
      </c>
    </row>
    <row r="28" spans="1:21" s="15" customFormat="1" ht="45">
      <c r="A28" s="333" t="s">
        <v>3410</v>
      </c>
      <c r="B28" s="87" t="s">
        <v>133</v>
      </c>
      <c r="C28" s="87" t="s">
        <v>2586</v>
      </c>
      <c r="D28" s="290" t="s">
        <v>2587</v>
      </c>
      <c r="E28" s="87" t="s">
        <v>1549</v>
      </c>
      <c r="F28" s="284">
        <v>13</v>
      </c>
      <c r="G28" s="291">
        <v>6049.03</v>
      </c>
      <c r="H28" s="291">
        <f t="shared" si="0"/>
        <v>78637.39</v>
      </c>
      <c r="I28" s="309">
        <f t="shared" si="1"/>
        <v>1.9213454999333426E-3</v>
      </c>
      <c r="J28" s="291"/>
      <c r="K28" s="291"/>
      <c r="L28" s="291"/>
      <c r="M28" s="291"/>
      <c r="N28" s="291"/>
      <c r="O28" s="291"/>
      <c r="P28" s="291"/>
      <c r="Q28" s="291"/>
      <c r="R28" s="306">
        <v>0</v>
      </c>
      <c r="S28" s="291">
        <f t="shared" si="2"/>
        <v>0</v>
      </c>
      <c r="T28" s="327">
        <f t="shared" si="3"/>
        <v>13</v>
      </c>
      <c r="U28" s="334">
        <f t="shared" si="4"/>
        <v>78637.39</v>
      </c>
    </row>
    <row r="29" spans="1:21" s="15" customFormat="1" ht="45">
      <c r="A29" s="333" t="s">
        <v>3411</v>
      </c>
      <c r="B29" s="87" t="s">
        <v>133</v>
      </c>
      <c r="C29" s="87" t="s">
        <v>2588</v>
      </c>
      <c r="D29" s="290" t="s">
        <v>2589</v>
      </c>
      <c r="E29" s="87" t="s">
        <v>1549</v>
      </c>
      <c r="F29" s="284">
        <v>8</v>
      </c>
      <c r="G29" s="291">
        <v>408.69</v>
      </c>
      <c r="H29" s="291">
        <f t="shared" si="0"/>
        <v>3269.52</v>
      </c>
      <c r="I29" s="309">
        <f t="shared" si="1"/>
        <v>7.9884105244872221E-5</v>
      </c>
      <c r="J29" s="291"/>
      <c r="K29" s="291"/>
      <c r="L29" s="291"/>
      <c r="M29" s="291"/>
      <c r="N29" s="291"/>
      <c r="O29" s="291"/>
      <c r="P29" s="291"/>
      <c r="Q29" s="291"/>
      <c r="R29" s="306">
        <v>0</v>
      </c>
      <c r="S29" s="291">
        <f t="shared" si="2"/>
        <v>0</v>
      </c>
      <c r="T29" s="327">
        <f t="shared" si="3"/>
        <v>8</v>
      </c>
      <c r="U29" s="334">
        <f t="shared" si="4"/>
        <v>3269.52</v>
      </c>
    </row>
    <row r="30" spans="1:21" s="15" customFormat="1" ht="60">
      <c r="A30" s="333" t="s">
        <v>3412</v>
      </c>
      <c r="B30" s="87" t="s">
        <v>133</v>
      </c>
      <c r="C30" s="87">
        <v>92809</v>
      </c>
      <c r="D30" s="290" t="s">
        <v>2590</v>
      </c>
      <c r="E30" s="87" t="s">
        <v>107</v>
      </c>
      <c r="F30" s="284">
        <v>172</v>
      </c>
      <c r="G30" s="291">
        <v>46.71</v>
      </c>
      <c r="H30" s="291">
        <f t="shared" si="0"/>
        <v>8034.12</v>
      </c>
      <c r="I30" s="309">
        <f t="shared" si="1"/>
        <v>1.9629746495813843E-4</v>
      </c>
      <c r="J30" s="291"/>
      <c r="K30" s="291"/>
      <c r="L30" s="291"/>
      <c r="M30" s="291"/>
      <c r="N30" s="291"/>
      <c r="O30" s="291"/>
      <c r="P30" s="291"/>
      <c r="Q30" s="291"/>
      <c r="R30" s="306">
        <v>91</v>
      </c>
      <c r="S30" s="291">
        <f t="shared" si="2"/>
        <v>4250.6099999999997</v>
      </c>
      <c r="T30" s="327">
        <f t="shared" si="3"/>
        <v>81</v>
      </c>
      <c r="U30" s="334">
        <f t="shared" si="4"/>
        <v>3783.51</v>
      </c>
    </row>
    <row r="31" spans="1:21" s="15" customFormat="1" ht="60">
      <c r="A31" s="333" t="s">
        <v>3413</v>
      </c>
      <c r="B31" s="87" t="s">
        <v>133</v>
      </c>
      <c r="C31" s="87" t="s">
        <v>2591</v>
      </c>
      <c r="D31" s="290" t="s">
        <v>2592</v>
      </c>
      <c r="E31" s="87" t="s">
        <v>107</v>
      </c>
      <c r="F31" s="284">
        <v>122</v>
      </c>
      <c r="G31" s="291">
        <v>73.81</v>
      </c>
      <c r="H31" s="291">
        <f t="shared" si="0"/>
        <v>9004.82</v>
      </c>
      <c r="I31" s="309">
        <f t="shared" si="1"/>
        <v>2.2001455522251896E-4</v>
      </c>
      <c r="J31" s="291"/>
      <c r="K31" s="291"/>
      <c r="L31" s="291"/>
      <c r="M31" s="291"/>
      <c r="N31" s="291"/>
      <c r="O31" s="291"/>
      <c r="P31" s="291"/>
      <c r="Q31" s="291"/>
      <c r="R31" s="306">
        <v>0</v>
      </c>
      <c r="S31" s="291">
        <f t="shared" si="2"/>
        <v>0</v>
      </c>
      <c r="T31" s="327">
        <f t="shared" si="3"/>
        <v>122</v>
      </c>
      <c r="U31" s="334">
        <f t="shared" si="4"/>
        <v>9004.82</v>
      </c>
    </row>
    <row r="32" spans="1:21" s="15" customFormat="1">
      <c r="A32" s="336"/>
      <c r="B32" s="293"/>
      <c r="C32" s="293"/>
      <c r="D32" s="294" t="s">
        <v>2593</v>
      </c>
      <c r="E32" s="293"/>
      <c r="F32" s="316"/>
      <c r="G32" s="295">
        <v>0</v>
      </c>
      <c r="H32" s="296">
        <f>SUM(H11:H31)</f>
        <v>1292442.4400000002</v>
      </c>
      <c r="I32" s="310">
        <f t="shared" si="1"/>
        <v>3.1578215731942139E-2</v>
      </c>
      <c r="J32" s="296"/>
      <c r="K32" s="296"/>
      <c r="L32" s="296"/>
      <c r="M32" s="296"/>
      <c r="N32" s="296"/>
      <c r="O32" s="296"/>
      <c r="P32" s="296"/>
      <c r="Q32" s="296"/>
      <c r="R32" s="307"/>
      <c r="S32" s="296">
        <f>SUM(S11:S31)</f>
        <v>668320.67883679981</v>
      </c>
      <c r="T32" s="329"/>
      <c r="U32" s="337">
        <f>SUM(U11:U31)</f>
        <v>624121.75869932829</v>
      </c>
    </row>
    <row r="33" spans="1:21" s="15" customFormat="1">
      <c r="A33" s="331" t="s">
        <v>3414</v>
      </c>
      <c r="B33" s="351" t="s">
        <v>21</v>
      </c>
      <c r="C33" s="351"/>
      <c r="D33" s="351"/>
      <c r="E33" s="351"/>
      <c r="F33" s="351"/>
      <c r="G33" s="288"/>
      <c r="H33" s="289"/>
      <c r="I33" s="311"/>
      <c r="J33" s="289"/>
      <c r="K33" s="289"/>
      <c r="L33" s="289"/>
      <c r="M33" s="289"/>
      <c r="N33" s="289"/>
      <c r="O33" s="289"/>
      <c r="P33" s="289"/>
      <c r="Q33" s="289"/>
      <c r="R33" s="305"/>
      <c r="S33" s="289"/>
      <c r="T33" s="326"/>
      <c r="U33" s="332"/>
    </row>
    <row r="34" spans="1:21" s="15" customFormat="1" ht="45">
      <c r="A34" s="333" t="s">
        <v>3415</v>
      </c>
      <c r="B34" s="87" t="s">
        <v>1810</v>
      </c>
      <c r="C34" s="315" t="s">
        <v>2594</v>
      </c>
      <c r="D34" s="292" t="s">
        <v>2595</v>
      </c>
      <c r="E34" s="87" t="s">
        <v>2573</v>
      </c>
      <c r="F34" s="284">
        <v>7959.2599999999993</v>
      </c>
      <c r="G34" s="291">
        <v>106.74</v>
      </c>
      <c r="H34" s="291">
        <f>ROUND((G34*F34),2)</f>
        <v>849571.41</v>
      </c>
      <c r="I34" s="309">
        <f t="shared" si="1"/>
        <v>2.0757558274448386E-2</v>
      </c>
      <c r="J34" s="291"/>
      <c r="K34" s="291"/>
      <c r="L34" s="291"/>
      <c r="M34" s="291"/>
      <c r="N34" s="291"/>
      <c r="O34" s="291"/>
      <c r="P34" s="291"/>
      <c r="Q34" s="291"/>
      <c r="R34" s="306">
        <v>7959.2599999999993</v>
      </c>
      <c r="S34" s="291">
        <f t="shared" ref="S34" si="5">R34*G34</f>
        <v>849571.41239999991</v>
      </c>
      <c r="T34" s="327">
        <f t="shared" si="3"/>
        <v>0</v>
      </c>
      <c r="U34" s="334">
        <f t="shared" si="4"/>
        <v>0</v>
      </c>
    </row>
    <row r="35" spans="1:21" s="15" customFormat="1">
      <c r="A35" s="336"/>
      <c r="B35" s="293"/>
      <c r="C35" s="317"/>
      <c r="D35" s="297" t="s">
        <v>2593</v>
      </c>
      <c r="E35" s="317"/>
      <c r="F35" s="318"/>
      <c r="G35" s="295">
        <v>0</v>
      </c>
      <c r="H35" s="296">
        <f>SUM(H34)</f>
        <v>849571.41</v>
      </c>
      <c r="I35" s="310">
        <f t="shared" si="1"/>
        <v>2.0757558274448386E-2</v>
      </c>
      <c r="J35" s="296"/>
      <c r="K35" s="296"/>
      <c r="L35" s="296"/>
      <c r="M35" s="296"/>
      <c r="N35" s="296"/>
      <c r="O35" s="296"/>
      <c r="P35" s="296"/>
      <c r="Q35" s="296"/>
      <c r="R35" s="307"/>
      <c r="S35" s="296">
        <f>SUM(S34)</f>
        <v>849571.41239999991</v>
      </c>
      <c r="T35" s="329"/>
      <c r="U35" s="337">
        <f>SUM(U34)</f>
        <v>0</v>
      </c>
    </row>
    <row r="36" spans="1:21" s="15" customFormat="1">
      <c r="A36" s="331" t="s">
        <v>3416</v>
      </c>
      <c r="B36" s="351" t="s">
        <v>87</v>
      </c>
      <c r="C36" s="351"/>
      <c r="D36" s="351"/>
      <c r="E36" s="351"/>
      <c r="F36" s="351"/>
      <c r="G36" s="288"/>
      <c r="H36" s="288"/>
      <c r="I36" s="311"/>
      <c r="J36" s="288"/>
      <c r="K36" s="288"/>
      <c r="L36" s="288"/>
      <c r="M36" s="288"/>
      <c r="N36" s="288"/>
      <c r="O36" s="288"/>
      <c r="P36" s="288"/>
      <c r="Q36" s="288"/>
      <c r="R36" s="305"/>
      <c r="S36" s="288"/>
      <c r="T36" s="326"/>
      <c r="U36" s="338"/>
    </row>
    <row r="37" spans="1:21" s="15" customFormat="1">
      <c r="A37" s="333" t="s">
        <v>3417</v>
      </c>
      <c r="B37" s="87" t="s">
        <v>1810</v>
      </c>
      <c r="C37" s="87" t="s">
        <v>2596</v>
      </c>
      <c r="D37" s="290" t="s">
        <v>89</v>
      </c>
      <c r="E37" s="87" t="s">
        <v>2563</v>
      </c>
      <c r="F37" s="284">
        <v>4714.6900000000005</v>
      </c>
      <c r="G37" s="291">
        <v>5.84</v>
      </c>
      <c r="H37" s="291">
        <f>ROUND((G37*F37),2)</f>
        <v>27533.79</v>
      </c>
      <c r="I37" s="309">
        <f t="shared" si="1"/>
        <v>6.7273244334037114E-4</v>
      </c>
      <c r="J37" s="291"/>
      <c r="K37" s="291"/>
      <c r="L37" s="291"/>
      <c r="M37" s="291"/>
      <c r="N37" s="291"/>
      <c r="O37" s="291"/>
      <c r="P37" s="291"/>
      <c r="Q37" s="291"/>
      <c r="R37" s="306">
        <v>4714.6900000000005</v>
      </c>
      <c r="S37" s="291">
        <f t="shared" ref="S37" si="6">R37*G37</f>
        <v>27533.789600000004</v>
      </c>
      <c r="T37" s="327">
        <f t="shared" si="3"/>
        <v>0</v>
      </c>
      <c r="U37" s="334">
        <f t="shared" si="4"/>
        <v>0</v>
      </c>
    </row>
    <row r="38" spans="1:21" s="15" customFormat="1">
      <c r="A38" s="336"/>
      <c r="B38" s="293"/>
      <c r="C38" s="293"/>
      <c r="D38" s="294" t="s">
        <v>2593</v>
      </c>
      <c r="E38" s="293"/>
      <c r="F38" s="316"/>
      <c r="G38" s="295">
        <v>0</v>
      </c>
      <c r="H38" s="296">
        <f>SUM(H37)</f>
        <v>27533.79</v>
      </c>
      <c r="I38" s="310">
        <f t="shared" si="1"/>
        <v>6.7273244334037114E-4</v>
      </c>
      <c r="J38" s="296"/>
      <c r="K38" s="296"/>
      <c r="L38" s="296"/>
      <c r="M38" s="296"/>
      <c r="N38" s="296"/>
      <c r="O38" s="296"/>
      <c r="P38" s="296"/>
      <c r="Q38" s="296"/>
      <c r="R38" s="307"/>
      <c r="S38" s="296">
        <f>SUM(S37)</f>
        <v>27533.789600000004</v>
      </c>
      <c r="T38" s="329">
        <f t="shared" si="3"/>
        <v>0</v>
      </c>
      <c r="U38" s="337">
        <f>SUM(U37)</f>
        <v>0</v>
      </c>
    </row>
    <row r="39" spans="1:21" s="15" customFormat="1">
      <c r="A39" s="331" t="s">
        <v>3418</v>
      </c>
      <c r="B39" s="351" t="s">
        <v>93</v>
      </c>
      <c r="C39" s="351"/>
      <c r="D39" s="351"/>
      <c r="E39" s="351"/>
      <c r="F39" s="351"/>
      <c r="G39" s="288"/>
      <c r="H39" s="288"/>
      <c r="I39" s="311"/>
      <c r="J39" s="288"/>
      <c r="K39" s="288"/>
      <c r="L39" s="288"/>
      <c r="M39" s="288"/>
      <c r="N39" s="288"/>
      <c r="O39" s="288"/>
      <c r="P39" s="288"/>
      <c r="Q39" s="288"/>
      <c r="R39" s="305"/>
      <c r="S39" s="288"/>
      <c r="T39" s="326"/>
      <c r="U39" s="338"/>
    </row>
    <row r="40" spans="1:21" s="15" customFormat="1">
      <c r="A40" s="333" t="s">
        <v>3419</v>
      </c>
      <c r="B40" s="87" t="s">
        <v>1810</v>
      </c>
      <c r="C40" s="87" t="s">
        <v>2597</v>
      </c>
      <c r="D40" s="350" t="s">
        <v>1831</v>
      </c>
      <c r="E40" s="87" t="s">
        <v>2598</v>
      </c>
      <c r="F40" s="284">
        <v>4714.6900000000005</v>
      </c>
      <c r="G40" s="291">
        <v>13.2</v>
      </c>
      <c r="H40" s="291">
        <f>ROUND((G40*F40),2)</f>
        <v>62233.91</v>
      </c>
      <c r="I40" s="309">
        <f t="shared" si="1"/>
        <v>1.5205596589835529E-3</v>
      </c>
      <c r="J40" s="291"/>
      <c r="K40" s="291"/>
      <c r="L40" s="291"/>
      <c r="M40" s="291"/>
      <c r="N40" s="291"/>
      <c r="O40" s="291"/>
      <c r="P40" s="291"/>
      <c r="Q40" s="291"/>
      <c r="R40" s="306">
        <v>590</v>
      </c>
      <c r="S40" s="291">
        <f t="shared" ref="S40" si="7">R40*G40</f>
        <v>7788</v>
      </c>
      <c r="T40" s="327">
        <f t="shared" si="3"/>
        <v>4124.6900000000005</v>
      </c>
      <c r="U40" s="334">
        <f t="shared" si="4"/>
        <v>54445.908000000003</v>
      </c>
    </row>
    <row r="41" spans="1:21" s="15" customFormat="1">
      <c r="A41" s="336"/>
      <c r="B41" s="293"/>
      <c r="C41" s="293"/>
      <c r="D41" s="294" t="s">
        <v>2593</v>
      </c>
      <c r="E41" s="293"/>
      <c r="F41" s="316"/>
      <c r="G41" s="295">
        <v>0</v>
      </c>
      <c r="H41" s="296">
        <f>SUM(H40)</f>
        <v>62233.91</v>
      </c>
      <c r="I41" s="310">
        <f t="shared" si="1"/>
        <v>1.5205596589835529E-3</v>
      </c>
      <c r="J41" s="296"/>
      <c r="K41" s="296"/>
      <c r="L41" s="296"/>
      <c r="M41" s="296"/>
      <c r="N41" s="296"/>
      <c r="O41" s="296"/>
      <c r="P41" s="296"/>
      <c r="Q41" s="296"/>
      <c r="R41" s="307"/>
      <c r="S41" s="296">
        <f>SUM(S40)</f>
        <v>7788</v>
      </c>
      <c r="T41" s="329"/>
      <c r="U41" s="337">
        <f>SUM(U40)</f>
        <v>54445.908000000003</v>
      </c>
    </row>
    <row r="42" spans="1:21" s="15" customFormat="1">
      <c r="A42" s="331">
        <v>2</v>
      </c>
      <c r="B42" s="351" t="s">
        <v>2599</v>
      </c>
      <c r="C42" s="351" t="s">
        <v>2599</v>
      </c>
      <c r="D42" s="351" t="s">
        <v>2599</v>
      </c>
      <c r="E42" s="351" t="s">
        <v>2599</v>
      </c>
      <c r="F42" s="351" t="s">
        <v>2599</v>
      </c>
      <c r="G42" s="288"/>
      <c r="H42" s="288"/>
      <c r="I42" s="311"/>
      <c r="J42" s="288"/>
      <c r="K42" s="288"/>
      <c r="L42" s="288"/>
      <c r="M42" s="288"/>
      <c r="N42" s="288"/>
      <c r="O42" s="288"/>
      <c r="P42" s="288"/>
      <c r="Q42" s="288"/>
      <c r="R42" s="305"/>
      <c r="S42" s="288"/>
      <c r="T42" s="326"/>
      <c r="U42" s="338"/>
    </row>
    <row r="43" spans="1:21" s="15" customFormat="1">
      <c r="A43" s="331" t="s">
        <v>3420</v>
      </c>
      <c r="B43" s="351" t="s">
        <v>96</v>
      </c>
      <c r="C43" s="351" t="s">
        <v>96</v>
      </c>
      <c r="D43" s="351" t="s">
        <v>96</v>
      </c>
      <c r="E43" s="351" t="s">
        <v>96</v>
      </c>
      <c r="F43" s="351" t="s">
        <v>96</v>
      </c>
      <c r="G43" s="288"/>
      <c r="H43" s="288"/>
      <c r="I43" s="311"/>
      <c r="J43" s="288"/>
      <c r="K43" s="288"/>
      <c r="L43" s="288"/>
      <c r="M43" s="288"/>
      <c r="N43" s="288"/>
      <c r="O43" s="288"/>
      <c r="P43" s="288"/>
      <c r="Q43" s="288"/>
      <c r="R43" s="305"/>
      <c r="S43" s="288"/>
      <c r="T43" s="326"/>
      <c r="U43" s="338"/>
    </row>
    <row r="44" spans="1:21" s="15" customFormat="1">
      <c r="A44" s="333" t="s">
        <v>3421</v>
      </c>
      <c r="B44" s="87" t="s">
        <v>1810</v>
      </c>
      <c r="C44" s="315" t="s">
        <v>2600</v>
      </c>
      <c r="D44" s="290" t="s">
        <v>98</v>
      </c>
      <c r="E44" s="87" t="s">
        <v>2598</v>
      </c>
      <c r="F44" s="284">
        <v>16</v>
      </c>
      <c r="G44" s="291">
        <v>350.11</v>
      </c>
      <c r="H44" s="291">
        <f>ROUND((G44*F44),2)</f>
        <v>5601.76</v>
      </c>
      <c r="I44" s="309">
        <f t="shared" si="1"/>
        <v>1.3686767029916179E-4</v>
      </c>
      <c r="J44" s="291"/>
      <c r="K44" s="291"/>
      <c r="L44" s="291"/>
      <c r="M44" s="291"/>
      <c r="N44" s="291"/>
      <c r="O44" s="291"/>
      <c r="P44" s="291"/>
      <c r="Q44" s="291"/>
      <c r="R44" s="306">
        <v>16</v>
      </c>
      <c r="S44" s="291">
        <f t="shared" ref="S44:S48" si="8">R44*G44</f>
        <v>5601.76</v>
      </c>
      <c r="T44" s="327">
        <f t="shared" si="3"/>
        <v>0</v>
      </c>
      <c r="U44" s="334">
        <f t="shared" si="4"/>
        <v>0</v>
      </c>
    </row>
    <row r="45" spans="1:21" s="15" customFormat="1" ht="30">
      <c r="A45" s="333" t="s">
        <v>3422</v>
      </c>
      <c r="B45" s="87" t="s">
        <v>1810</v>
      </c>
      <c r="C45" s="87" t="s">
        <v>2601</v>
      </c>
      <c r="D45" s="290" t="s">
        <v>102</v>
      </c>
      <c r="E45" s="87" t="s">
        <v>48</v>
      </c>
      <c r="F45" s="284">
        <v>1</v>
      </c>
      <c r="G45" s="291">
        <v>1979.46</v>
      </c>
      <c r="H45" s="291">
        <f>ROUND((G45*F45),2)</f>
        <v>1979.46</v>
      </c>
      <c r="I45" s="309">
        <f t="shared" si="1"/>
        <v>4.8364099613403422E-5</v>
      </c>
      <c r="J45" s="291"/>
      <c r="K45" s="291"/>
      <c r="L45" s="291"/>
      <c r="M45" s="291"/>
      <c r="N45" s="291"/>
      <c r="O45" s="291"/>
      <c r="P45" s="291"/>
      <c r="Q45" s="291"/>
      <c r="R45" s="306">
        <v>1</v>
      </c>
      <c r="S45" s="291">
        <f t="shared" si="8"/>
        <v>1979.46</v>
      </c>
      <c r="T45" s="327">
        <f t="shared" si="3"/>
        <v>0</v>
      </c>
      <c r="U45" s="334">
        <f t="shared" si="4"/>
        <v>0</v>
      </c>
    </row>
    <row r="46" spans="1:21" s="15" customFormat="1" ht="75">
      <c r="A46" s="333" t="s">
        <v>3423</v>
      </c>
      <c r="B46" s="87" t="s">
        <v>1810</v>
      </c>
      <c r="C46" s="87" t="s">
        <v>2602</v>
      </c>
      <c r="D46" s="290" t="s">
        <v>106</v>
      </c>
      <c r="E46" s="87" t="s">
        <v>107</v>
      </c>
      <c r="F46" s="284">
        <v>412.21</v>
      </c>
      <c r="G46" s="291">
        <v>176.8</v>
      </c>
      <c r="H46" s="291">
        <f>ROUND((G46*F46),2)</f>
        <v>72878.73</v>
      </c>
      <c r="I46" s="309">
        <f t="shared" si="1"/>
        <v>1.7806442956252372E-3</v>
      </c>
      <c r="J46" s="291"/>
      <c r="K46" s="291"/>
      <c r="L46" s="291"/>
      <c r="M46" s="291"/>
      <c r="N46" s="291"/>
      <c r="O46" s="291"/>
      <c r="P46" s="291"/>
      <c r="Q46" s="291"/>
      <c r="R46" s="306">
        <v>412.21</v>
      </c>
      <c r="S46" s="291">
        <f t="shared" si="8"/>
        <v>72878.728000000003</v>
      </c>
      <c r="T46" s="327">
        <f t="shared" si="3"/>
        <v>0</v>
      </c>
      <c r="U46" s="334">
        <f t="shared" si="4"/>
        <v>0</v>
      </c>
    </row>
    <row r="47" spans="1:21" s="15" customFormat="1" ht="90">
      <c r="A47" s="335" t="s">
        <v>3424</v>
      </c>
      <c r="B47" s="302" t="s">
        <v>2603</v>
      </c>
      <c r="C47" s="87" t="s">
        <v>2604</v>
      </c>
      <c r="D47" s="290" t="s">
        <v>2605</v>
      </c>
      <c r="E47" s="87" t="s">
        <v>110</v>
      </c>
      <c r="F47" s="284">
        <v>8</v>
      </c>
      <c r="G47" s="291">
        <v>1446.51</v>
      </c>
      <c r="H47" s="291">
        <f>ROUND((G47*F47),2)</f>
        <v>11572.08</v>
      </c>
      <c r="I47" s="309">
        <f t="shared" si="1"/>
        <v>2.8274035840798679E-4</v>
      </c>
      <c r="J47" s="291"/>
      <c r="K47" s="291"/>
      <c r="L47" s="291"/>
      <c r="M47" s="291"/>
      <c r="N47" s="291"/>
      <c r="O47" s="291"/>
      <c r="P47" s="291"/>
      <c r="Q47" s="291"/>
      <c r="R47" s="306">
        <v>1</v>
      </c>
      <c r="S47" s="291">
        <f t="shared" si="8"/>
        <v>1446.51</v>
      </c>
      <c r="T47" s="327">
        <f t="shared" si="3"/>
        <v>7</v>
      </c>
      <c r="U47" s="334">
        <f t="shared" si="4"/>
        <v>10125.57</v>
      </c>
    </row>
    <row r="48" spans="1:21" s="15" customFormat="1" ht="45">
      <c r="A48" s="333" t="s">
        <v>3425</v>
      </c>
      <c r="B48" s="87" t="s">
        <v>1810</v>
      </c>
      <c r="C48" s="87" t="s">
        <v>2606</v>
      </c>
      <c r="D48" s="290" t="s">
        <v>100</v>
      </c>
      <c r="E48" s="87" t="s">
        <v>2598</v>
      </c>
      <c r="F48" s="284">
        <v>5541.2199999999993</v>
      </c>
      <c r="G48" s="291">
        <v>25.65</v>
      </c>
      <c r="H48" s="291">
        <f>ROUND((G48*F48),2)</f>
        <v>142132.29</v>
      </c>
      <c r="I48" s="309">
        <f t="shared" si="1"/>
        <v>3.4727148979222331E-3</v>
      </c>
      <c r="J48" s="291"/>
      <c r="K48" s="291"/>
      <c r="L48" s="291"/>
      <c r="M48" s="291"/>
      <c r="N48" s="291"/>
      <c r="O48" s="291"/>
      <c r="P48" s="291"/>
      <c r="Q48" s="291"/>
      <c r="R48" s="306">
        <v>540</v>
      </c>
      <c r="S48" s="291">
        <f t="shared" si="8"/>
        <v>13851</v>
      </c>
      <c r="T48" s="327">
        <f t="shared" si="3"/>
        <v>5001.2199999999993</v>
      </c>
      <c r="U48" s="334">
        <f t="shared" si="4"/>
        <v>128281.29299999998</v>
      </c>
    </row>
    <row r="49" spans="1:21" s="15" customFormat="1">
      <c r="A49" s="336"/>
      <c r="B49" s="293"/>
      <c r="C49" s="293"/>
      <c r="D49" s="294" t="s">
        <v>2593</v>
      </c>
      <c r="E49" s="293"/>
      <c r="F49" s="316"/>
      <c r="G49" s="295">
        <v>0</v>
      </c>
      <c r="H49" s="296">
        <f>SUM(H44:H48)</f>
        <v>234164.32</v>
      </c>
      <c r="I49" s="310">
        <f t="shared" si="1"/>
        <v>5.7213313218680223E-3</v>
      </c>
      <c r="J49" s="296"/>
      <c r="K49" s="296"/>
      <c r="L49" s="296"/>
      <c r="M49" s="296"/>
      <c r="N49" s="296"/>
      <c r="O49" s="296"/>
      <c r="P49" s="296"/>
      <c r="Q49" s="296"/>
      <c r="R49" s="307">
        <v>0</v>
      </c>
      <c r="S49" s="296">
        <f>SUM(S44:S48)</f>
        <v>95757.457999999999</v>
      </c>
      <c r="T49" s="329"/>
      <c r="U49" s="337">
        <f>SUM(U44:U48)</f>
        <v>138406.86299999998</v>
      </c>
    </row>
    <row r="50" spans="1:21" s="15" customFormat="1">
      <c r="A50" s="331" t="s">
        <v>3426</v>
      </c>
      <c r="B50" s="351" t="s">
        <v>2607</v>
      </c>
      <c r="C50" s="351" t="s">
        <v>2607</v>
      </c>
      <c r="D50" s="351" t="s">
        <v>2607</v>
      </c>
      <c r="E50" s="351" t="s">
        <v>2607</v>
      </c>
      <c r="F50" s="351" t="s">
        <v>2607</v>
      </c>
      <c r="G50" s="288"/>
      <c r="H50" s="288"/>
      <c r="I50" s="311"/>
      <c r="J50" s="288"/>
      <c r="K50" s="288"/>
      <c r="L50" s="288"/>
      <c r="M50" s="288"/>
      <c r="N50" s="288"/>
      <c r="O50" s="288"/>
      <c r="P50" s="288"/>
      <c r="Q50" s="288"/>
      <c r="R50" s="305"/>
      <c r="S50" s="288"/>
      <c r="T50" s="326"/>
      <c r="U50" s="338"/>
    </row>
    <row r="51" spans="1:21" s="15" customFormat="1">
      <c r="A51" s="331" t="s">
        <v>3427</v>
      </c>
      <c r="B51" s="351" t="s">
        <v>2608</v>
      </c>
      <c r="C51" s="351" t="s">
        <v>2608</v>
      </c>
      <c r="D51" s="351" t="s">
        <v>2608</v>
      </c>
      <c r="E51" s="351" t="s">
        <v>2608</v>
      </c>
      <c r="F51" s="351" t="s">
        <v>2608</v>
      </c>
      <c r="G51" s="288"/>
      <c r="H51" s="288"/>
      <c r="I51" s="311"/>
      <c r="J51" s="288"/>
      <c r="K51" s="288"/>
      <c r="L51" s="288"/>
      <c r="M51" s="288"/>
      <c r="N51" s="288"/>
      <c r="O51" s="288"/>
      <c r="P51" s="288"/>
      <c r="Q51" s="288"/>
      <c r="R51" s="305"/>
      <c r="S51" s="288"/>
      <c r="T51" s="326"/>
      <c r="U51" s="338"/>
    </row>
    <row r="52" spans="1:21" s="15" customFormat="1" ht="79.5" customHeight="1">
      <c r="A52" s="333" t="s">
        <v>3428</v>
      </c>
      <c r="B52" s="87" t="s">
        <v>1810</v>
      </c>
      <c r="C52" s="87" t="s">
        <v>2609</v>
      </c>
      <c r="D52" s="290" t="s">
        <v>2610</v>
      </c>
      <c r="E52" s="87" t="s">
        <v>2598</v>
      </c>
      <c r="F52" s="284">
        <v>21.8</v>
      </c>
      <c r="G52" s="291">
        <v>561.72</v>
      </c>
      <c r="H52" s="291">
        <f t="shared" ref="H52:H61" si="9">ROUND((G52*F52),2)</f>
        <v>12245.5</v>
      </c>
      <c r="I52" s="309">
        <f t="shared" si="1"/>
        <v>2.9919401342584927E-4</v>
      </c>
      <c r="J52" s="291"/>
      <c r="K52" s="291"/>
      <c r="L52" s="291"/>
      <c r="M52" s="291"/>
      <c r="N52" s="291"/>
      <c r="O52" s="291"/>
      <c r="P52" s="291"/>
      <c r="Q52" s="291"/>
      <c r="R52" s="306">
        <v>21.8</v>
      </c>
      <c r="S52" s="291">
        <f t="shared" ref="S52:S60" si="10">R52*G52</f>
        <v>12245.496000000001</v>
      </c>
      <c r="T52" s="327">
        <f t="shared" si="3"/>
        <v>0</v>
      </c>
      <c r="U52" s="334">
        <f t="shared" si="4"/>
        <v>0</v>
      </c>
    </row>
    <row r="53" spans="1:21" s="15" customFormat="1" ht="75" customHeight="1">
      <c r="A53" s="333" t="s">
        <v>3429</v>
      </c>
      <c r="B53" s="87" t="s">
        <v>1810</v>
      </c>
      <c r="C53" s="87" t="s">
        <v>2611</v>
      </c>
      <c r="D53" s="290" t="s">
        <v>2612</v>
      </c>
      <c r="E53" s="87" t="s">
        <v>2598</v>
      </c>
      <c r="F53" s="284">
        <v>10.9</v>
      </c>
      <c r="G53" s="291">
        <v>491.86</v>
      </c>
      <c r="H53" s="291">
        <f t="shared" si="9"/>
        <v>5361.27</v>
      </c>
      <c r="I53" s="309">
        <f t="shared" si="1"/>
        <v>1.3099178378666476E-4</v>
      </c>
      <c r="J53" s="291"/>
      <c r="K53" s="291"/>
      <c r="L53" s="291"/>
      <c r="M53" s="291"/>
      <c r="N53" s="291"/>
      <c r="O53" s="291"/>
      <c r="P53" s="291"/>
      <c r="Q53" s="291"/>
      <c r="R53" s="306">
        <v>10.9</v>
      </c>
      <c r="S53" s="291">
        <f t="shared" si="10"/>
        <v>5361.2740000000003</v>
      </c>
      <c r="T53" s="327">
        <f t="shared" si="3"/>
        <v>0</v>
      </c>
      <c r="U53" s="334">
        <f t="shared" si="4"/>
        <v>0</v>
      </c>
    </row>
    <row r="54" spans="1:21" s="15" customFormat="1" ht="60">
      <c r="A54" s="335" t="s">
        <v>3430</v>
      </c>
      <c r="B54" s="302" t="s">
        <v>2603</v>
      </c>
      <c r="C54" s="302" t="s">
        <v>2613</v>
      </c>
      <c r="D54" s="298" t="s">
        <v>2614</v>
      </c>
      <c r="E54" s="302" t="s">
        <v>2598</v>
      </c>
      <c r="F54" s="284">
        <v>60.5</v>
      </c>
      <c r="G54" s="291">
        <v>478.8</v>
      </c>
      <c r="H54" s="291">
        <f t="shared" si="9"/>
        <v>28967.4</v>
      </c>
      <c r="I54" s="309">
        <f t="shared" si="1"/>
        <v>7.0775980274484073E-4</v>
      </c>
      <c r="J54" s="291"/>
      <c r="K54" s="291"/>
      <c r="L54" s="291"/>
      <c r="M54" s="291"/>
      <c r="N54" s="291"/>
      <c r="O54" s="291"/>
      <c r="P54" s="291"/>
      <c r="Q54" s="291"/>
      <c r="R54" s="306">
        <v>60.5</v>
      </c>
      <c r="S54" s="291">
        <f t="shared" si="10"/>
        <v>28967.4</v>
      </c>
      <c r="T54" s="327">
        <f t="shared" si="3"/>
        <v>0</v>
      </c>
      <c r="U54" s="334">
        <f t="shared" si="4"/>
        <v>0</v>
      </c>
    </row>
    <row r="55" spans="1:21" s="15" customFormat="1" ht="75" customHeight="1">
      <c r="A55" s="333" t="s">
        <v>3431</v>
      </c>
      <c r="B55" s="87" t="s">
        <v>1810</v>
      </c>
      <c r="C55" s="87" t="s">
        <v>2615</v>
      </c>
      <c r="D55" s="290" t="s">
        <v>2616</v>
      </c>
      <c r="E55" s="87" t="s">
        <v>48</v>
      </c>
      <c r="F55" s="284">
        <v>1</v>
      </c>
      <c r="G55" s="291">
        <v>28397.759999999998</v>
      </c>
      <c r="H55" s="291">
        <f t="shared" si="9"/>
        <v>28397.759999999998</v>
      </c>
      <c r="I55" s="309">
        <f t="shared" si="1"/>
        <v>6.9384180202556407E-4</v>
      </c>
      <c r="J55" s="291"/>
      <c r="K55" s="291"/>
      <c r="L55" s="291"/>
      <c r="M55" s="291"/>
      <c r="N55" s="291"/>
      <c r="O55" s="291"/>
      <c r="P55" s="291"/>
      <c r="Q55" s="291"/>
      <c r="R55" s="306">
        <v>1</v>
      </c>
      <c r="S55" s="291">
        <f t="shared" si="10"/>
        <v>28397.759999999998</v>
      </c>
      <c r="T55" s="327">
        <f t="shared" si="3"/>
        <v>0</v>
      </c>
      <c r="U55" s="334">
        <f t="shared" si="4"/>
        <v>0</v>
      </c>
    </row>
    <row r="56" spans="1:21" s="15" customFormat="1" ht="75">
      <c r="A56" s="333" t="s">
        <v>3432</v>
      </c>
      <c r="B56" s="87" t="s">
        <v>1810</v>
      </c>
      <c r="C56" s="87" t="s">
        <v>2617</v>
      </c>
      <c r="D56" s="290" t="s">
        <v>2618</v>
      </c>
      <c r="E56" s="87" t="s">
        <v>2598</v>
      </c>
      <c r="F56" s="284">
        <v>12</v>
      </c>
      <c r="G56" s="291">
        <v>182.64</v>
      </c>
      <c r="H56" s="291">
        <f t="shared" si="9"/>
        <v>2191.6799999999998</v>
      </c>
      <c r="I56" s="309">
        <f t="shared" si="1"/>
        <v>5.3549265880949356E-5</v>
      </c>
      <c r="J56" s="291"/>
      <c r="K56" s="291"/>
      <c r="L56" s="291"/>
      <c r="M56" s="291"/>
      <c r="N56" s="291"/>
      <c r="O56" s="291"/>
      <c r="P56" s="291"/>
      <c r="Q56" s="291"/>
      <c r="R56" s="306">
        <v>12</v>
      </c>
      <c r="S56" s="291">
        <f t="shared" si="10"/>
        <v>2191.6799999999998</v>
      </c>
      <c r="T56" s="327">
        <f t="shared" si="3"/>
        <v>0</v>
      </c>
      <c r="U56" s="334">
        <f t="shared" si="4"/>
        <v>0</v>
      </c>
    </row>
    <row r="57" spans="1:21" s="15" customFormat="1" ht="75">
      <c r="A57" s="333" t="s">
        <v>3433</v>
      </c>
      <c r="B57" s="87" t="s">
        <v>1810</v>
      </c>
      <c r="C57" s="87" t="s">
        <v>2619</v>
      </c>
      <c r="D57" s="290" t="s">
        <v>2620</v>
      </c>
      <c r="E57" s="87" t="s">
        <v>2598</v>
      </c>
      <c r="F57" s="284">
        <v>6</v>
      </c>
      <c r="G57" s="291">
        <v>253.29</v>
      </c>
      <c r="H57" s="291">
        <f t="shared" si="9"/>
        <v>1519.74</v>
      </c>
      <c r="I57" s="309">
        <f t="shared" si="1"/>
        <v>3.7131771668269994E-5</v>
      </c>
      <c r="J57" s="291"/>
      <c r="K57" s="291"/>
      <c r="L57" s="291"/>
      <c r="M57" s="291"/>
      <c r="N57" s="291"/>
      <c r="O57" s="291"/>
      <c r="P57" s="291"/>
      <c r="Q57" s="291"/>
      <c r="R57" s="306">
        <v>6</v>
      </c>
      <c r="S57" s="291">
        <f t="shared" si="10"/>
        <v>1519.74</v>
      </c>
      <c r="T57" s="327">
        <f t="shared" si="3"/>
        <v>0</v>
      </c>
      <c r="U57" s="334">
        <f t="shared" si="4"/>
        <v>0</v>
      </c>
    </row>
    <row r="58" spans="1:21" s="15" customFormat="1" ht="45">
      <c r="A58" s="333" t="s">
        <v>3434</v>
      </c>
      <c r="B58" s="87" t="s">
        <v>1810</v>
      </c>
      <c r="C58" s="87" t="s">
        <v>2621</v>
      </c>
      <c r="D58" s="290" t="s">
        <v>2622</v>
      </c>
      <c r="E58" s="87" t="s">
        <v>48</v>
      </c>
      <c r="F58" s="284">
        <v>1</v>
      </c>
      <c r="G58" s="291">
        <v>1555.11</v>
      </c>
      <c r="H58" s="291">
        <f t="shared" si="9"/>
        <v>1555.11</v>
      </c>
      <c r="I58" s="309">
        <f t="shared" si="1"/>
        <v>3.7995966046194311E-5</v>
      </c>
      <c r="J58" s="291"/>
      <c r="K58" s="291"/>
      <c r="L58" s="291"/>
      <c r="M58" s="291"/>
      <c r="N58" s="291"/>
      <c r="O58" s="291"/>
      <c r="P58" s="291"/>
      <c r="Q58" s="291"/>
      <c r="R58" s="306">
        <v>1</v>
      </c>
      <c r="S58" s="291">
        <f t="shared" si="10"/>
        <v>1555.11</v>
      </c>
      <c r="T58" s="327">
        <f t="shared" si="3"/>
        <v>0</v>
      </c>
      <c r="U58" s="334">
        <f t="shared" si="4"/>
        <v>0</v>
      </c>
    </row>
    <row r="59" spans="1:21" s="15" customFormat="1" ht="60">
      <c r="A59" s="333" t="s">
        <v>3435</v>
      </c>
      <c r="B59" s="87" t="s">
        <v>1810</v>
      </c>
      <c r="C59" s="87" t="s">
        <v>2623</v>
      </c>
      <c r="D59" s="290" t="s">
        <v>2624</v>
      </c>
      <c r="E59" s="87" t="s">
        <v>107</v>
      </c>
      <c r="F59" s="284">
        <v>100</v>
      </c>
      <c r="G59" s="291">
        <v>47.16</v>
      </c>
      <c r="H59" s="291">
        <f t="shared" si="9"/>
        <v>4716</v>
      </c>
      <c r="I59" s="309">
        <f t="shared" si="1"/>
        <v>1.1522591705657632E-4</v>
      </c>
      <c r="J59" s="291"/>
      <c r="K59" s="291"/>
      <c r="L59" s="291"/>
      <c r="M59" s="291"/>
      <c r="N59" s="291"/>
      <c r="O59" s="291"/>
      <c r="P59" s="291"/>
      <c r="Q59" s="291"/>
      <c r="R59" s="306">
        <v>100</v>
      </c>
      <c r="S59" s="291">
        <f t="shared" si="10"/>
        <v>4716</v>
      </c>
      <c r="T59" s="327">
        <f t="shared" si="3"/>
        <v>0</v>
      </c>
      <c r="U59" s="334">
        <f t="shared" si="4"/>
        <v>0</v>
      </c>
    </row>
    <row r="60" spans="1:21" s="15" customFormat="1" ht="60">
      <c r="A60" s="333" t="s">
        <v>3436</v>
      </c>
      <c r="B60" s="87" t="s">
        <v>1810</v>
      </c>
      <c r="C60" s="87" t="s">
        <v>2625</v>
      </c>
      <c r="D60" s="290" t="s">
        <v>2626</v>
      </c>
      <c r="E60" s="87" t="s">
        <v>107</v>
      </c>
      <c r="F60" s="284">
        <v>100</v>
      </c>
      <c r="G60" s="291">
        <v>596.22</v>
      </c>
      <c r="H60" s="291">
        <f t="shared" si="9"/>
        <v>59622</v>
      </c>
      <c r="I60" s="309">
        <f t="shared" si="1"/>
        <v>1.4567429233984719E-3</v>
      </c>
      <c r="J60" s="291"/>
      <c r="K60" s="291"/>
      <c r="L60" s="291"/>
      <c r="M60" s="291"/>
      <c r="N60" s="291"/>
      <c r="O60" s="291"/>
      <c r="P60" s="291"/>
      <c r="Q60" s="291"/>
      <c r="R60" s="306">
        <v>100</v>
      </c>
      <c r="S60" s="291">
        <f t="shared" si="10"/>
        <v>59622</v>
      </c>
      <c r="T60" s="327">
        <f t="shared" si="3"/>
        <v>0</v>
      </c>
      <c r="U60" s="334">
        <f t="shared" si="4"/>
        <v>0</v>
      </c>
    </row>
    <row r="61" spans="1:21" s="15" customFormat="1" ht="57" customHeight="1">
      <c r="A61" s="333" t="s">
        <v>3437</v>
      </c>
      <c r="B61" s="87" t="s">
        <v>1810</v>
      </c>
      <c r="C61" s="87" t="s">
        <v>2627</v>
      </c>
      <c r="D61" s="290" t="s">
        <v>2628</v>
      </c>
      <c r="E61" s="87" t="s">
        <v>107</v>
      </c>
      <c r="F61" s="284">
        <v>100</v>
      </c>
      <c r="G61" s="291">
        <v>532.37</v>
      </c>
      <c r="H61" s="291">
        <f t="shared" si="9"/>
        <v>53237</v>
      </c>
      <c r="I61" s="309">
        <f t="shared" si="1"/>
        <v>1.300738368604952E-3</v>
      </c>
      <c r="J61" s="291"/>
      <c r="K61" s="291"/>
      <c r="L61" s="291"/>
      <c r="M61" s="291"/>
      <c r="N61" s="291"/>
      <c r="O61" s="291"/>
      <c r="P61" s="291"/>
      <c r="Q61" s="291"/>
      <c r="R61" s="306"/>
      <c r="S61" s="291">
        <f>R61*G61</f>
        <v>0</v>
      </c>
      <c r="T61" s="327">
        <f t="shared" si="3"/>
        <v>100</v>
      </c>
      <c r="U61" s="334">
        <f t="shared" si="4"/>
        <v>53237</v>
      </c>
    </row>
    <row r="62" spans="1:21" s="15" customFormat="1">
      <c r="A62" s="336"/>
      <c r="B62" s="293"/>
      <c r="C62" s="293"/>
      <c r="D62" s="294" t="s">
        <v>2593</v>
      </c>
      <c r="E62" s="293"/>
      <c r="F62" s="316"/>
      <c r="G62" s="295">
        <v>0</v>
      </c>
      <c r="H62" s="296">
        <f>SUM(H52:H61)</f>
        <v>197813.46</v>
      </c>
      <c r="I62" s="310">
        <f t="shared" si="1"/>
        <v>4.8331716146383322E-3</v>
      </c>
      <c r="J62" s="296"/>
      <c r="K62" s="296"/>
      <c r="L62" s="296"/>
      <c r="M62" s="296"/>
      <c r="N62" s="296"/>
      <c r="O62" s="296"/>
      <c r="P62" s="296"/>
      <c r="Q62" s="296"/>
      <c r="R62" s="307"/>
      <c r="S62" s="296">
        <f>SUM(S52:S61)</f>
        <v>144576.46</v>
      </c>
      <c r="T62" s="329"/>
      <c r="U62" s="337">
        <f>SUM(U52:U61)</f>
        <v>53237</v>
      </c>
    </row>
    <row r="63" spans="1:21" s="15" customFormat="1">
      <c r="A63" s="331">
        <v>3</v>
      </c>
      <c r="B63" s="351" t="s">
        <v>127</v>
      </c>
      <c r="C63" s="351" t="s">
        <v>127</v>
      </c>
      <c r="D63" s="351" t="s">
        <v>127</v>
      </c>
      <c r="E63" s="351" t="s">
        <v>127</v>
      </c>
      <c r="F63" s="351" t="s">
        <v>127</v>
      </c>
      <c r="G63" s="288"/>
      <c r="H63" s="288"/>
      <c r="I63" s="311"/>
      <c r="J63" s="288"/>
      <c r="K63" s="288"/>
      <c r="L63" s="288"/>
      <c r="M63" s="288"/>
      <c r="N63" s="288"/>
      <c r="O63" s="288"/>
      <c r="P63" s="288"/>
      <c r="Q63" s="288"/>
      <c r="R63" s="305"/>
      <c r="S63" s="288"/>
      <c r="T63" s="326"/>
      <c r="U63" s="338"/>
    </row>
    <row r="64" spans="1:21" s="15" customFormat="1">
      <c r="A64" s="331" t="s">
        <v>3438</v>
      </c>
      <c r="B64" s="351" t="s">
        <v>129</v>
      </c>
      <c r="C64" s="351" t="s">
        <v>129</v>
      </c>
      <c r="D64" s="351" t="s">
        <v>129</v>
      </c>
      <c r="E64" s="351" t="s">
        <v>129</v>
      </c>
      <c r="F64" s="351" t="s">
        <v>129</v>
      </c>
      <c r="G64" s="288"/>
      <c r="H64" s="288"/>
      <c r="I64" s="311"/>
      <c r="J64" s="288"/>
      <c r="K64" s="288"/>
      <c r="L64" s="288"/>
      <c r="M64" s="288"/>
      <c r="N64" s="288"/>
      <c r="O64" s="288"/>
      <c r="P64" s="288"/>
      <c r="Q64" s="288"/>
      <c r="R64" s="305"/>
      <c r="S64" s="288"/>
      <c r="T64" s="326"/>
      <c r="U64" s="338"/>
    </row>
    <row r="65" spans="1:21" s="15" customFormat="1" ht="30">
      <c r="A65" s="333" t="s">
        <v>3439</v>
      </c>
      <c r="B65" s="87" t="s">
        <v>2603</v>
      </c>
      <c r="C65" s="87" t="s">
        <v>2572</v>
      </c>
      <c r="D65" s="290" t="s">
        <v>131</v>
      </c>
      <c r="E65" s="87" t="s">
        <v>2573</v>
      </c>
      <c r="F65" s="284">
        <v>802.37250000000006</v>
      </c>
      <c r="G65" s="291">
        <v>75.959999999999994</v>
      </c>
      <c r="H65" s="291">
        <f>ROUND((G65*F65),2)</f>
        <v>60948.22</v>
      </c>
      <c r="I65" s="309">
        <f t="shared" si="1"/>
        <v>1.4891464254592802E-3</v>
      </c>
      <c r="J65" s="291"/>
      <c r="K65" s="291"/>
      <c r="L65" s="291"/>
      <c r="M65" s="291"/>
      <c r="N65" s="291"/>
      <c r="O65" s="291"/>
      <c r="P65" s="291"/>
      <c r="Q65" s="291"/>
      <c r="R65" s="306">
        <v>123.0795</v>
      </c>
      <c r="S65" s="291">
        <f t="shared" ref="S65:S67" si="11">R65*G65</f>
        <v>9349.1188199999997</v>
      </c>
      <c r="T65" s="327">
        <f t="shared" si="3"/>
        <v>679.29300000000012</v>
      </c>
      <c r="U65" s="334">
        <f t="shared" si="4"/>
        <v>51599.096280000005</v>
      </c>
    </row>
    <row r="66" spans="1:21" s="15" customFormat="1">
      <c r="A66" s="333" t="s">
        <v>3440</v>
      </c>
      <c r="B66" s="87" t="s">
        <v>2603</v>
      </c>
      <c r="C66" s="87" t="s">
        <v>2574</v>
      </c>
      <c r="D66" s="290" t="s">
        <v>2575</v>
      </c>
      <c r="E66" s="87" t="s">
        <v>2573</v>
      </c>
      <c r="F66" s="284">
        <v>39.690000000000005</v>
      </c>
      <c r="G66" s="291">
        <v>19.72</v>
      </c>
      <c r="H66" s="291">
        <f>ROUND((G66*F66),2)</f>
        <v>782.69</v>
      </c>
      <c r="I66" s="309">
        <f t="shared" si="1"/>
        <v>1.9123446357296803E-5</v>
      </c>
      <c r="J66" s="291"/>
      <c r="K66" s="291"/>
      <c r="L66" s="291"/>
      <c r="M66" s="291"/>
      <c r="N66" s="291"/>
      <c r="O66" s="291"/>
      <c r="P66" s="291"/>
      <c r="Q66" s="291"/>
      <c r="R66" s="306">
        <v>0</v>
      </c>
      <c r="S66" s="291">
        <f t="shared" si="11"/>
        <v>0</v>
      </c>
      <c r="T66" s="327">
        <f t="shared" si="3"/>
        <v>39.690000000000005</v>
      </c>
      <c r="U66" s="334">
        <f t="shared" si="4"/>
        <v>782.68680000000006</v>
      </c>
    </row>
    <row r="67" spans="1:21" s="15" customFormat="1">
      <c r="A67" s="333" t="s">
        <v>3441</v>
      </c>
      <c r="B67" s="87" t="s">
        <v>2603</v>
      </c>
      <c r="C67" s="87" t="s">
        <v>2629</v>
      </c>
      <c r="D67" s="290" t="s">
        <v>2630</v>
      </c>
      <c r="E67" s="87" t="s">
        <v>2598</v>
      </c>
      <c r="F67" s="284">
        <v>713.90454545454543</v>
      </c>
      <c r="G67" s="291">
        <v>39.729999999999997</v>
      </c>
      <c r="H67" s="291">
        <f>ROUND((G67*F67),2)</f>
        <v>28363.43</v>
      </c>
      <c r="I67" s="309">
        <f t="shared" si="1"/>
        <v>6.9300301794317394E-4</v>
      </c>
      <c r="J67" s="291"/>
      <c r="K67" s="291"/>
      <c r="L67" s="291"/>
      <c r="M67" s="291"/>
      <c r="N67" s="291"/>
      <c r="O67" s="291"/>
      <c r="P67" s="291"/>
      <c r="Q67" s="291"/>
      <c r="R67" s="306">
        <v>0</v>
      </c>
      <c r="S67" s="291">
        <f t="shared" si="11"/>
        <v>0</v>
      </c>
      <c r="T67" s="327">
        <f t="shared" si="3"/>
        <v>713.90454545454543</v>
      </c>
      <c r="U67" s="334">
        <f t="shared" si="4"/>
        <v>28363.427590909087</v>
      </c>
    </row>
    <row r="68" spans="1:21" s="15" customFormat="1">
      <c r="A68" s="336"/>
      <c r="B68" s="293"/>
      <c r="C68" s="293"/>
      <c r="D68" s="294" t="s">
        <v>2593</v>
      </c>
      <c r="E68" s="293"/>
      <c r="F68" s="316"/>
      <c r="G68" s="295">
        <v>0</v>
      </c>
      <c r="H68" s="296">
        <f>SUM(H65:H67)</f>
        <v>90094.34</v>
      </c>
      <c r="I68" s="310">
        <f t="shared" si="1"/>
        <v>2.2012728897597509E-3</v>
      </c>
      <c r="J68" s="296"/>
      <c r="K68" s="296"/>
      <c r="L68" s="296"/>
      <c r="M68" s="296"/>
      <c r="N68" s="296"/>
      <c r="O68" s="296"/>
      <c r="P68" s="296"/>
      <c r="Q68" s="296"/>
      <c r="R68" s="307">
        <v>0</v>
      </c>
      <c r="S68" s="296">
        <f>SUM(S65:S67)</f>
        <v>9349.1188199999997</v>
      </c>
      <c r="T68" s="329"/>
      <c r="U68" s="337">
        <f>SUM(U65:U67)</f>
        <v>80745.210670909088</v>
      </c>
    </row>
    <row r="69" spans="1:21" s="15" customFormat="1">
      <c r="A69" s="331" t="s">
        <v>3442</v>
      </c>
      <c r="B69" s="351" t="s">
        <v>140</v>
      </c>
      <c r="C69" s="351" t="s">
        <v>140</v>
      </c>
      <c r="D69" s="351" t="s">
        <v>140</v>
      </c>
      <c r="E69" s="351" t="s">
        <v>140</v>
      </c>
      <c r="F69" s="351" t="s">
        <v>140</v>
      </c>
      <c r="G69" s="288">
        <v>0</v>
      </c>
      <c r="H69" s="288"/>
      <c r="I69" s="311">
        <f t="shared" si="1"/>
        <v>0</v>
      </c>
      <c r="J69" s="288"/>
      <c r="K69" s="288"/>
      <c r="L69" s="288"/>
      <c r="M69" s="288"/>
      <c r="N69" s="288"/>
      <c r="O69" s="288"/>
      <c r="P69" s="288"/>
      <c r="Q69" s="288"/>
      <c r="R69" s="305"/>
      <c r="S69" s="288"/>
      <c r="T69" s="326"/>
      <c r="U69" s="338"/>
    </row>
    <row r="70" spans="1:21" s="15" customFormat="1" ht="30">
      <c r="A70" s="333" t="s">
        <v>3443</v>
      </c>
      <c r="B70" s="87" t="s">
        <v>2603</v>
      </c>
      <c r="C70" s="87" t="s">
        <v>2631</v>
      </c>
      <c r="D70" s="290" t="s">
        <v>2244</v>
      </c>
      <c r="E70" s="87" t="s">
        <v>2573</v>
      </c>
      <c r="F70" s="284">
        <v>203.59500000000003</v>
      </c>
      <c r="G70" s="291">
        <v>81.81</v>
      </c>
      <c r="H70" s="291">
        <f>ROUND((G70*F70),2)</f>
        <v>16656.11</v>
      </c>
      <c r="I70" s="309">
        <f t="shared" si="1"/>
        <v>4.0695834379669453E-4</v>
      </c>
      <c r="J70" s="291"/>
      <c r="K70" s="291"/>
      <c r="L70" s="291"/>
      <c r="M70" s="291"/>
      <c r="N70" s="291"/>
      <c r="O70" s="291"/>
      <c r="P70" s="291"/>
      <c r="Q70" s="291"/>
      <c r="R70" s="306">
        <v>0</v>
      </c>
      <c r="S70" s="291">
        <f t="shared" ref="S70" si="12">R70*G70</f>
        <v>0</v>
      </c>
      <c r="T70" s="327">
        <f t="shared" si="3"/>
        <v>203.59500000000003</v>
      </c>
      <c r="U70" s="334">
        <f t="shared" si="4"/>
        <v>16656.106950000001</v>
      </c>
    </row>
    <row r="71" spans="1:21" s="15" customFormat="1">
      <c r="A71" s="336"/>
      <c r="B71" s="293"/>
      <c r="C71" s="293"/>
      <c r="D71" s="294" t="s">
        <v>2593</v>
      </c>
      <c r="E71" s="293"/>
      <c r="F71" s="316"/>
      <c r="G71" s="295">
        <v>0</v>
      </c>
      <c r="H71" s="296">
        <f>SUM(H70)</f>
        <v>16656.11</v>
      </c>
      <c r="I71" s="310">
        <f t="shared" si="1"/>
        <v>4.0695834379669453E-4</v>
      </c>
      <c r="J71" s="296"/>
      <c r="K71" s="296"/>
      <c r="L71" s="296"/>
      <c r="M71" s="296"/>
      <c r="N71" s="296"/>
      <c r="O71" s="296"/>
      <c r="P71" s="296"/>
      <c r="Q71" s="296"/>
      <c r="R71" s="307">
        <v>0</v>
      </c>
      <c r="S71" s="296">
        <f>SUM(S70)</f>
        <v>0</v>
      </c>
      <c r="T71" s="329">
        <f t="shared" si="3"/>
        <v>0</v>
      </c>
      <c r="U71" s="337">
        <f>SUM(U70)</f>
        <v>16656.106950000001</v>
      </c>
    </row>
    <row r="72" spans="1:21" s="15" customFormat="1">
      <c r="A72" s="331" t="s">
        <v>3444</v>
      </c>
      <c r="B72" s="351" t="s">
        <v>144</v>
      </c>
      <c r="C72" s="351" t="s">
        <v>144</v>
      </c>
      <c r="D72" s="351" t="s">
        <v>144</v>
      </c>
      <c r="E72" s="351" t="s">
        <v>144</v>
      </c>
      <c r="F72" s="351" t="s">
        <v>144</v>
      </c>
      <c r="G72" s="288">
        <v>0</v>
      </c>
      <c r="H72" s="288"/>
      <c r="I72" s="311">
        <f t="shared" si="1"/>
        <v>0</v>
      </c>
      <c r="J72" s="288"/>
      <c r="K72" s="288"/>
      <c r="L72" s="288"/>
      <c r="M72" s="288"/>
      <c r="N72" s="288"/>
      <c r="O72" s="288"/>
      <c r="P72" s="288"/>
      <c r="Q72" s="288"/>
      <c r="R72" s="305"/>
      <c r="S72" s="288"/>
      <c r="T72" s="326"/>
      <c r="U72" s="338"/>
    </row>
    <row r="73" spans="1:21" s="15" customFormat="1" ht="60">
      <c r="A73" s="333" t="s">
        <v>3445</v>
      </c>
      <c r="B73" s="87" t="s">
        <v>2603</v>
      </c>
      <c r="C73" s="87" t="s">
        <v>2632</v>
      </c>
      <c r="D73" s="290" t="s">
        <v>146</v>
      </c>
      <c r="E73" s="87" t="s">
        <v>2573</v>
      </c>
      <c r="F73" s="284">
        <v>7959.2599999999993</v>
      </c>
      <c r="G73" s="291">
        <v>100.23</v>
      </c>
      <c r="H73" s="291">
        <f>ROUND((G73*F73),2)</f>
        <v>797756.63</v>
      </c>
      <c r="I73" s="309">
        <f t="shared" si="1"/>
        <v>1.9491568973645852E-2</v>
      </c>
      <c r="J73" s="291"/>
      <c r="K73" s="291"/>
      <c r="L73" s="291"/>
      <c r="M73" s="291"/>
      <c r="N73" s="291"/>
      <c r="O73" s="291"/>
      <c r="P73" s="291"/>
      <c r="Q73" s="291"/>
      <c r="R73" s="306">
        <v>7959.2599999999993</v>
      </c>
      <c r="S73" s="291">
        <f t="shared" ref="S73" si="13">R73*G73</f>
        <v>797756.6298</v>
      </c>
      <c r="T73" s="327">
        <f t="shared" si="3"/>
        <v>0</v>
      </c>
      <c r="U73" s="334">
        <f t="shared" si="4"/>
        <v>0</v>
      </c>
    </row>
    <row r="74" spans="1:21" s="15" customFormat="1">
      <c r="A74" s="336"/>
      <c r="B74" s="293"/>
      <c r="C74" s="293"/>
      <c r="D74" s="294" t="s">
        <v>2593</v>
      </c>
      <c r="E74" s="293"/>
      <c r="F74" s="316"/>
      <c r="G74" s="295">
        <v>0</v>
      </c>
      <c r="H74" s="296">
        <f>SUM(H73)</f>
        <v>797756.63</v>
      </c>
      <c r="I74" s="310">
        <f t="shared" si="1"/>
        <v>1.9491568973645852E-2</v>
      </c>
      <c r="J74" s="296"/>
      <c r="K74" s="296"/>
      <c r="L74" s="296"/>
      <c r="M74" s="296"/>
      <c r="N74" s="296"/>
      <c r="O74" s="296"/>
      <c r="P74" s="296"/>
      <c r="Q74" s="296"/>
      <c r="R74" s="307">
        <v>0</v>
      </c>
      <c r="S74" s="296">
        <f>SUM(S73)</f>
        <v>797756.6298</v>
      </c>
      <c r="T74" s="329"/>
      <c r="U74" s="337">
        <f>SUM(U73)</f>
        <v>0</v>
      </c>
    </row>
    <row r="75" spans="1:21" s="15" customFormat="1">
      <c r="A75" s="331">
        <v>4</v>
      </c>
      <c r="B75" s="351" t="s">
        <v>147</v>
      </c>
      <c r="C75" s="351" t="s">
        <v>147</v>
      </c>
      <c r="D75" s="351" t="s">
        <v>147</v>
      </c>
      <c r="E75" s="351" t="s">
        <v>147</v>
      </c>
      <c r="F75" s="351" t="s">
        <v>147</v>
      </c>
      <c r="G75" s="288"/>
      <c r="H75" s="288"/>
      <c r="I75" s="311"/>
      <c r="J75" s="288"/>
      <c r="K75" s="288"/>
      <c r="L75" s="288"/>
      <c r="M75" s="288"/>
      <c r="N75" s="288"/>
      <c r="O75" s="288"/>
      <c r="P75" s="288"/>
      <c r="Q75" s="288"/>
      <c r="R75" s="305"/>
      <c r="S75" s="288"/>
      <c r="T75" s="326"/>
      <c r="U75" s="338"/>
    </row>
    <row r="76" spans="1:21" s="15" customFormat="1">
      <c r="A76" s="331" t="s">
        <v>3446</v>
      </c>
      <c r="B76" s="351" t="s">
        <v>2633</v>
      </c>
      <c r="C76" s="351" t="s">
        <v>2633</v>
      </c>
      <c r="D76" s="351" t="s">
        <v>2633</v>
      </c>
      <c r="E76" s="351" t="s">
        <v>2633</v>
      </c>
      <c r="F76" s="351" t="s">
        <v>2633</v>
      </c>
      <c r="G76" s="288"/>
      <c r="H76" s="288"/>
      <c r="I76" s="311"/>
      <c r="J76" s="288"/>
      <c r="K76" s="288"/>
      <c r="L76" s="288"/>
      <c r="M76" s="288"/>
      <c r="N76" s="288"/>
      <c r="O76" s="288"/>
      <c r="P76" s="288"/>
      <c r="Q76" s="288"/>
      <c r="R76" s="305"/>
      <c r="S76" s="288"/>
      <c r="T76" s="326"/>
      <c r="U76" s="338"/>
    </row>
    <row r="77" spans="1:21" s="15" customFormat="1" ht="45">
      <c r="A77" s="333" t="s">
        <v>3447</v>
      </c>
      <c r="B77" s="87" t="s">
        <v>2603</v>
      </c>
      <c r="C77" s="87" t="s">
        <v>2634</v>
      </c>
      <c r="D77" s="290" t="s">
        <v>1855</v>
      </c>
      <c r="E77" s="87" t="s">
        <v>2573</v>
      </c>
      <c r="F77" s="284">
        <v>720.00000000000011</v>
      </c>
      <c r="G77" s="291">
        <v>945.73</v>
      </c>
      <c r="H77" s="291">
        <f t="shared" ref="H77:H82" si="14">ROUND((G77*F77),2)</f>
        <v>680925.6</v>
      </c>
      <c r="I77" s="309">
        <f t="shared" ref="I77:I139" si="15">H77/$H$741</f>
        <v>1.6637039166094034E-2</v>
      </c>
      <c r="J77" s="291"/>
      <c r="K77" s="291"/>
      <c r="L77" s="291"/>
      <c r="M77" s="291"/>
      <c r="N77" s="291"/>
      <c r="O77" s="291"/>
      <c r="P77" s="291"/>
      <c r="Q77" s="291"/>
      <c r="R77" s="306">
        <v>0</v>
      </c>
      <c r="S77" s="291">
        <f t="shared" ref="S77:S82" si="16">R77*G77</f>
        <v>0</v>
      </c>
      <c r="T77" s="327">
        <f t="shared" ref="T77:T139" si="17">F77-R77</f>
        <v>720.00000000000011</v>
      </c>
      <c r="U77" s="334">
        <f t="shared" ref="U77:U139" si="18">T77*G77</f>
        <v>680925.60000000009</v>
      </c>
    </row>
    <row r="78" spans="1:21" s="15" customFormat="1" ht="45">
      <c r="A78" s="333" t="s">
        <v>3448</v>
      </c>
      <c r="B78" s="87" t="s">
        <v>2603</v>
      </c>
      <c r="C78" s="87" t="s">
        <v>2635</v>
      </c>
      <c r="D78" s="290" t="s">
        <v>181</v>
      </c>
      <c r="E78" s="87" t="s">
        <v>2573</v>
      </c>
      <c r="F78" s="284">
        <v>72</v>
      </c>
      <c r="G78" s="291">
        <v>837.55</v>
      </c>
      <c r="H78" s="291">
        <f t="shared" si="14"/>
        <v>60303.6</v>
      </c>
      <c r="I78" s="309">
        <f t="shared" si="15"/>
        <v>1.4733964401639006E-3</v>
      </c>
      <c r="J78" s="291"/>
      <c r="K78" s="291"/>
      <c r="L78" s="291"/>
      <c r="M78" s="291"/>
      <c r="N78" s="291"/>
      <c r="O78" s="291"/>
      <c r="P78" s="291"/>
      <c r="Q78" s="291"/>
      <c r="R78" s="306">
        <v>0</v>
      </c>
      <c r="S78" s="291">
        <f t="shared" si="16"/>
        <v>0</v>
      </c>
      <c r="T78" s="327">
        <f t="shared" si="17"/>
        <v>72</v>
      </c>
      <c r="U78" s="334">
        <f t="shared" si="18"/>
        <v>60303.6</v>
      </c>
    </row>
    <row r="79" spans="1:21" s="15" customFormat="1" ht="45">
      <c r="A79" s="335" t="s">
        <v>3449</v>
      </c>
      <c r="B79" s="302" t="s">
        <v>2603</v>
      </c>
      <c r="C79" s="302" t="s">
        <v>2636</v>
      </c>
      <c r="D79" s="298" t="s">
        <v>2637</v>
      </c>
      <c r="E79" s="302" t="s">
        <v>2598</v>
      </c>
      <c r="F79" s="319">
        <v>2163</v>
      </c>
      <c r="G79" s="291">
        <v>106.5</v>
      </c>
      <c r="H79" s="291">
        <f t="shared" si="14"/>
        <v>230359.5</v>
      </c>
      <c r="I79" s="309">
        <f t="shared" si="15"/>
        <v>5.6283682443160283E-3</v>
      </c>
      <c r="J79" s="291"/>
      <c r="K79" s="291"/>
      <c r="L79" s="291"/>
      <c r="M79" s="291"/>
      <c r="N79" s="291"/>
      <c r="O79" s="291"/>
      <c r="P79" s="291"/>
      <c r="Q79" s="291"/>
      <c r="R79" s="306">
        <v>0</v>
      </c>
      <c r="S79" s="291">
        <f t="shared" si="16"/>
        <v>0</v>
      </c>
      <c r="T79" s="327">
        <f t="shared" si="17"/>
        <v>2163</v>
      </c>
      <c r="U79" s="334">
        <f t="shared" si="18"/>
        <v>230359.5</v>
      </c>
    </row>
    <row r="80" spans="1:21" s="15" customFormat="1" ht="30">
      <c r="A80" s="333" t="s">
        <v>3450</v>
      </c>
      <c r="B80" s="87" t="s">
        <v>2603</v>
      </c>
      <c r="C80" s="87" t="s">
        <v>2638</v>
      </c>
      <c r="D80" s="290" t="s">
        <v>1858</v>
      </c>
      <c r="E80" s="87" t="s">
        <v>1741</v>
      </c>
      <c r="F80" s="284">
        <v>10434.4</v>
      </c>
      <c r="G80" s="291">
        <v>13.2</v>
      </c>
      <c r="H80" s="291">
        <f t="shared" si="14"/>
        <v>137734.07999999999</v>
      </c>
      <c r="I80" s="309">
        <f t="shared" si="15"/>
        <v>3.3652535364596787E-3</v>
      </c>
      <c r="J80" s="291"/>
      <c r="K80" s="291"/>
      <c r="L80" s="291"/>
      <c r="M80" s="291"/>
      <c r="N80" s="291"/>
      <c r="O80" s="291"/>
      <c r="P80" s="291"/>
      <c r="Q80" s="291"/>
      <c r="R80" s="306">
        <v>0</v>
      </c>
      <c r="S80" s="291">
        <f t="shared" si="16"/>
        <v>0</v>
      </c>
      <c r="T80" s="327">
        <f t="shared" si="17"/>
        <v>10434.4</v>
      </c>
      <c r="U80" s="334">
        <f t="shared" si="18"/>
        <v>137734.07999999999</v>
      </c>
    </row>
    <row r="81" spans="1:21" s="15" customFormat="1" ht="45">
      <c r="A81" s="333" t="s">
        <v>3451</v>
      </c>
      <c r="B81" s="87" t="s">
        <v>2603</v>
      </c>
      <c r="C81" s="87" t="s">
        <v>2639</v>
      </c>
      <c r="D81" s="290" t="s">
        <v>2640</v>
      </c>
      <c r="E81" s="87" t="s">
        <v>1741</v>
      </c>
      <c r="F81" s="284">
        <v>2532</v>
      </c>
      <c r="G81" s="291">
        <v>14</v>
      </c>
      <c r="H81" s="291">
        <f t="shared" si="14"/>
        <v>35448</v>
      </c>
      <c r="I81" s="309">
        <f t="shared" si="15"/>
        <v>8.6610015008938023E-4</v>
      </c>
      <c r="J81" s="291"/>
      <c r="K81" s="291"/>
      <c r="L81" s="291"/>
      <c r="M81" s="291"/>
      <c r="N81" s="291"/>
      <c r="O81" s="291"/>
      <c r="P81" s="291"/>
      <c r="Q81" s="291"/>
      <c r="R81" s="306">
        <v>0</v>
      </c>
      <c r="S81" s="291">
        <f t="shared" si="16"/>
        <v>0</v>
      </c>
      <c r="T81" s="327">
        <f t="shared" si="17"/>
        <v>2532</v>
      </c>
      <c r="U81" s="334">
        <f t="shared" si="18"/>
        <v>35448</v>
      </c>
    </row>
    <row r="82" spans="1:21" s="15" customFormat="1" ht="30">
      <c r="A82" s="333" t="s">
        <v>3452</v>
      </c>
      <c r="B82" s="87" t="s">
        <v>133</v>
      </c>
      <c r="C82" s="87" t="s">
        <v>2641</v>
      </c>
      <c r="D82" s="290" t="s">
        <v>2642</v>
      </c>
      <c r="E82" s="87" t="s">
        <v>1741</v>
      </c>
      <c r="F82" s="284">
        <v>9042.2999999999993</v>
      </c>
      <c r="G82" s="291">
        <v>20.23</v>
      </c>
      <c r="H82" s="291">
        <f t="shared" si="14"/>
        <v>182925.73</v>
      </c>
      <c r="I82" s="309">
        <f t="shared" si="15"/>
        <v>4.4694200577806769E-3</v>
      </c>
      <c r="J82" s="291"/>
      <c r="K82" s="291"/>
      <c r="L82" s="291"/>
      <c r="M82" s="291"/>
      <c r="N82" s="291"/>
      <c r="O82" s="291"/>
      <c r="P82" s="291"/>
      <c r="Q82" s="291"/>
      <c r="R82" s="306">
        <v>0</v>
      </c>
      <c r="S82" s="291">
        <f t="shared" si="16"/>
        <v>0</v>
      </c>
      <c r="T82" s="327">
        <f t="shared" si="17"/>
        <v>9042.2999999999993</v>
      </c>
      <c r="U82" s="334">
        <f t="shared" si="18"/>
        <v>182925.72899999999</v>
      </c>
    </row>
    <row r="83" spans="1:21" s="15" customFormat="1">
      <c r="A83" s="336"/>
      <c r="B83" s="293"/>
      <c r="C83" s="293"/>
      <c r="D83" s="294" t="s">
        <v>2593</v>
      </c>
      <c r="E83" s="293"/>
      <c r="F83" s="316"/>
      <c r="G83" s="295">
        <v>0</v>
      </c>
      <c r="H83" s="296">
        <f>SUM(H77:H82)</f>
        <v>1327696.51</v>
      </c>
      <c r="I83" s="310">
        <f t="shared" si="15"/>
        <v>3.24395775949037E-2</v>
      </c>
      <c r="J83" s="296"/>
      <c r="K83" s="296"/>
      <c r="L83" s="296"/>
      <c r="M83" s="296"/>
      <c r="N83" s="296"/>
      <c r="O83" s="296"/>
      <c r="P83" s="296"/>
      <c r="Q83" s="296"/>
      <c r="R83" s="307"/>
      <c r="S83" s="296">
        <f>SUM(S77:S82)</f>
        <v>0</v>
      </c>
      <c r="T83" s="329"/>
      <c r="U83" s="337">
        <f>SUM(U77:U82)</f>
        <v>1327696.5090000001</v>
      </c>
    </row>
    <row r="84" spans="1:21" s="15" customFormat="1">
      <c r="A84" s="331" t="s">
        <v>3453</v>
      </c>
      <c r="B84" s="351" t="s">
        <v>2643</v>
      </c>
      <c r="C84" s="351" t="s">
        <v>2643</v>
      </c>
      <c r="D84" s="351" t="s">
        <v>2643</v>
      </c>
      <c r="E84" s="351" t="s">
        <v>2643</v>
      </c>
      <c r="F84" s="351" t="s">
        <v>2643</v>
      </c>
      <c r="G84" s="288"/>
      <c r="H84" s="288"/>
      <c r="I84" s="311"/>
      <c r="J84" s="288"/>
      <c r="K84" s="288"/>
      <c r="L84" s="288"/>
      <c r="M84" s="288"/>
      <c r="N84" s="288"/>
      <c r="O84" s="288"/>
      <c r="P84" s="288"/>
      <c r="Q84" s="288"/>
      <c r="R84" s="305"/>
      <c r="S84" s="288"/>
      <c r="T84" s="326"/>
      <c r="U84" s="338"/>
    </row>
    <row r="85" spans="1:21" s="15" customFormat="1" ht="45">
      <c r="A85" s="333" t="s">
        <v>3454</v>
      </c>
      <c r="B85" s="87" t="s">
        <v>2603</v>
      </c>
      <c r="C85" s="315" t="s">
        <v>2644</v>
      </c>
      <c r="D85" s="292" t="s">
        <v>2645</v>
      </c>
      <c r="E85" s="87" t="s">
        <v>2573</v>
      </c>
      <c r="F85" s="284">
        <v>56.150000000000006</v>
      </c>
      <c r="G85" s="291">
        <v>811.77</v>
      </c>
      <c r="H85" s="291">
        <f>ROUND((G85*F85),2)</f>
        <v>45580.89</v>
      </c>
      <c r="I85" s="309">
        <f t="shared" si="15"/>
        <v>1.1136768130841663E-3</v>
      </c>
      <c r="J85" s="291"/>
      <c r="K85" s="291"/>
      <c r="L85" s="291"/>
      <c r="M85" s="291"/>
      <c r="N85" s="291"/>
      <c r="O85" s="291"/>
      <c r="P85" s="291"/>
      <c r="Q85" s="291"/>
      <c r="R85" s="306">
        <v>0</v>
      </c>
      <c r="S85" s="291">
        <f t="shared" ref="S85:S88" si="19">R85*G85</f>
        <v>0</v>
      </c>
      <c r="T85" s="327">
        <f t="shared" si="17"/>
        <v>56.150000000000006</v>
      </c>
      <c r="U85" s="334">
        <f t="shared" si="18"/>
        <v>45580.885500000004</v>
      </c>
    </row>
    <row r="86" spans="1:21" s="15" customFormat="1" ht="75">
      <c r="A86" s="333" t="s">
        <v>3455</v>
      </c>
      <c r="B86" s="87" t="s">
        <v>2603</v>
      </c>
      <c r="C86" s="315" t="s">
        <v>2646</v>
      </c>
      <c r="D86" s="292" t="s">
        <v>2647</v>
      </c>
      <c r="E86" s="87" t="s">
        <v>243</v>
      </c>
      <c r="F86" s="284">
        <v>472</v>
      </c>
      <c r="G86" s="291">
        <v>125.17</v>
      </c>
      <c r="H86" s="291">
        <f>ROUND((G86*F86),2)</f>
        <v>59080.24</v>
      </c>
      <c r="I86" s="309">
        <f t="shared" si="15"/>
        <v>1.4435061140633211E-3</v>
      </c>
      <c r="J86" s="291"/>
      <c r="K86" s="291"/>
      <c r="L86" s="291"/>
      <c r="M86" s="291"/>
      <c r="N86" s="291"/>
      <c r="O86" s="291"/>
      <c r="P86" s="291"/>
      <c r="Q86" s="291"/>
      <c r="R86" s="306">
        <v>0</v>
      </c>
      <c r="S86" s="291">
        <f t="shared" si="19"/>
        <v>0</v>
      </c>
      <c r="T86" s="327">
        <f t="shared" si="17"/>
        <v>472</v>
      </c>
      <c r="U86" s="334">
        <f t="shared" si="18"/>
        <v>59080.24</v>
      </c>
    </row>
    <row r="87" spans="1:21" s="15" customFormat="1" ht="30">
      <c r="A87" s="333" t="s">
        <v>3456</v>
      </c>
      <c r="B87" s="87" t="s">
        <v>2603</v>
      </c>
      <c r="C87" s="87" t="s">
        <v>2638</v>
      </c>
      <c r="D87" s="290" t="s">
        <v>1858</v>
      </c>
      <c r="E87" s="87" t="s">
        <v>1741</v>
      </c>
      <c r="F87" s="284">
        <v>2068.6000000000004</v>
      </c>
      <c r="G87" s="291">
        <v>13.2</v>
      </c>
      <c r="H87" s="291">
        <f>ROUND((G87*F87),2)</f>
        <v>27305.52</v>
      </c>
      <c r="I87" s="309">
        <f t="shared" si="15"/>
        <v>6.6715512780039983E-4</v>
      </c>
      <c r="J87" s="291"/>
      <c r="K87" s="291"/>
      <c r="L87" s="291"/>
      <c r="M87" s="291"/>
      <c r="N87" s="291"/>
      <c r="O87" s="291"/>
      <c r="P87" s="291"/>
      <c r="Q87" s="291"/>
      <c r="R87" s="306">
        <v>0</v>
      </c>
      <c r="S87" s="291">
        <f t="shared" si="19"/>
        <v>0</v>
      </c>
      <c r="T87" s="327">
        <f t="shared" si="17"/>
        <v>2068.6000000000004</v>
      </c>
      <c r="U87" s="334">
        <f t="shared" si="18"/>
        <v>27305.520000000004</v>
      </c>
    </row>
    <row r="88" spans="1:21" s="15" customFormat="1" ht="30">
      <c r="A88" s="333" t="s">
        <v>3457</v>
      </c>
      <c r="B88" s="87" t="s">
        <v>2603</v>
      </c>
      <c r="C88" s="315" t="s">
        <v>2648</v>
      </c>
      <c r="D88" s="292" t="s">
        <v>1861</v>
      </c>
      <c r="E88" s="87" t="s">
        <v>1741</v>
      </c>
      <c r="F88" s="284">
        <v>138</v>
      </c>
      <c r="G88" s="291">
        <v>14.01</v>
      </c>
      <c r="H88" s="291">
        <f>ROUND((G88*F88),2)</f>
        <v>1933.38</v>
      </c>
      <c r="I88" s="309">
        <f t="shared" si="15"/>
        <v>4.7238228057430773E-5</v>
      </c>
      <c r="J88" s="291"/>
      <c r="K88" s="291"/>
      <c r="L88" s="291"/>
      <c r="M88" s="291"/>
      <c r="N88" s="291"/>
      <c r="O88" s="291"/>
      <c r="P88" s="291"/>
      <c r="Q88" s="291"/>
      <c r="R88" s="306">
        <v>0</v>
      </c>
      <c r="S88" s="291">
        <f t="shared" si="19"/>
        <v>0</v>
      </c>
      <c r="T88" s="327">
        <f t="shared" si="17"/>
        <v>138</v>
      </c>
      <c r="U88" s="334">
        <f t="shared" si="18"/>
        <v>1933.3799999999999</v>
      </c>
    </row>
    <row r="89" spans="1:21" s="15" customFormat="1">
      <c r="A89" s="336"/>
      <c r="B89" s="293"/>
      <c r="C89" s="293"/>
      <c r="D89" s="294" t="s">
        <v>2593</v>
      </c>
      <c r="E89" s="293"/>
      <c r="F89" s="316"/>
      <c r="G89" s="295">
        <v>0</v>
      </c>
      <c r="H89" s="296">
        <f>SUM(H85:H88)</f>
        <v>133900.03</v>
      </c>
      <c r="I89" s="310">
        <f t="shared" si="15"/>
        <v>3.271576283005318E-3</v>
      </c>
      <c r="J89" s="296"/>
      <c r="K89" s="296"/>
      <c r="L89" s="296"/>
      <c r="M89" s="296"/>
      <c r="N89" s="296"/>
      <c r="O89" s="296"/>
      <c r="P89" s="296"/>
      <c r="Q89" s="296"/>
      <c r="R89" s="307"/>
      <c r="S89" s="296">
        <f>SUM(S85:S88)</f>
        <v>0</v>
      </c>
      <c r="T89" s="329"/>
      <c r="U89" s="337">
        <f t="shared" ref="U89" si="20">SUM(U85:U88)</f>
        <v>133900.02549999999</v>
      </c>
    </row>
    <row r="90" spans="1:21" s="15" customFormat="1">
      <c r="A90" s="331" t="s">
        <v>3458</v>
      </c>
      <c r="B90" s="351" t="s">
        <v>197</v>
      </c>
      <c r="C90" s="351" t="s">
        <v>197</v>
      </c>
      <c r="D90" s="351" t="s">
        <v>197</v>
      </c>
      <c r="E90" s="351" t="s">
        <v>197</v>
      </c>
      <c r="F90" s="351" t="s">
        <v>197</v>
      </c>
      <c r="G90" s="288"/>
      <c r="H90" s="288"/>
      <c r="I90" s="311"/>
      <c r="J90" s="288"/>
      <c r="K90" s="288"/>
      <c r="L90" s="288"/>
      <c r="M90" s="288"/>
      <c r="N90" s="288"/>
      <c r="O90" s="288"/>
      <c r="P90" s="288"/>
      <c r="Q90" s="288"/>
      <c r="R90" s="305"/>
      <c r="S90" s="288"/>
      <c r="T90" s="326"/>
      <c r="U90" s="338"/>
    </row>
    <row r="91" spans="1:21" s="15" customFormat="1" ht="30">
      <c r="A91" s="333" t="s">
        <v>3459</v>
      </c>
      <c r="B91" s="87" t="s">
        <v>2649</v>
      </c>
      <c r="C91" s="87">
        <v>2</v>
      </c>
      <c r="D91" s="292" t="s">
        <v>2650</v>
      </c>
      <c r="E91" s="87" t="s">
        <v>2651</v>
      </c>
      <c r="F91" s="284">
        <v>7.48</v>
      </c>
      <c r="G91" s="291">
        <v>4310.55</v>
      </c>
      <c r="H91" s="291">
        <f>ROUND((G91*F91),2)</f>
        <v>32242.91</v>
      </c>
      <c r="I91" s="309">
        <f t="shared" si="15"/>
        <v>7.8779026151879871E-4</v>
      </c>
      <c r="J91" s="291"/>
      <c r="K91" s="291"/>
      <c r="L91" s="291"/>
      <c r="M91" s="291"/>
      <c r="N91" s="291"/>
      <c r="O91" s="291"/>
      <c r="P91" s="291"/>
      <c r="Q91" s="291"/>
      <c r="R91" s="306">
        <v>0</v>
      </c>
      <c r="S91" s="291">
        <f t="shared" ref="S91" si="21">R91*G91</f>
        <v>0</v>
      </c>
      <c r="T91" s="327">
        <f t="shared" si="17"/>
        <v>7.48</v>
      </c>
      <c r="U91" s="334">
        <f t="shared" si="18"/>
        <v>32242.914000000004</v>
      </c>
    </row>
    <row r="92" spans="1:21" s="15" customFormat="1">
      <c r="A92" s="336"/>
      <c r="B92" s="293"/>
      <c r="C92" s="293"/>
      <c r="D92" s="294" t="s">
        <v>2593</v>
      </c>
      <c r="E92" s="293"/>
      <c r="F92" s="316"/>
      <c r="G92" s="295">
        <v>0</v>
      </c>
      <c r="H92" s="296">
        <f>SUM(H91)</f>
        <v>32242.91</v>
      </c>
      <c r="I92" s="310">
        <f t="shared" si="15"/>
        <v>7.8779026151879871E-4</v>
      </c>
      <c r="J92" s="296"/>
      <c r="K92" s="296"/>
      <c r="L92" s="296"/>
      <c r="M92" s="296"/>
      <c r="N92" s="296"/>
      <c r="O92" s="296"/>
      <c r="P92" s="296"/>
      <c r="Q92" s="296"/>
      <c r="R92" s="307"/>
      <c r="S92" s="296">
        <f>SUM(S91)</f>
        <v>0</v>
      </c>
      <c r="T92" s="329"/>
      <c r="U92" s="337">
        <f t="shared" ref="U92" si="22">SUM(U91)</f>
        <v>32242.914000000004</v>
      </c>
    </row>
    <row r="93" spans="1:21" s="15" customFormat="1">
      <c r="A93" s="331" t="s">
        <v>3460</v>
      </c>
      <c r="B93" s="351" t="s">
        <v>2652</v>
      </c>
      <c r="C93" s="351" t="s">
        <v>2652</v>
      </c>
      <c r="D93" s="351" t="s">
        <v>2652</v>
      </c>
      <c r="E93" s="351" t="s">
        <v>2652</v>
      </c>
      <c r="F93" s="351" t="s">
        <v>2652</v>
      </c>
      <c r="G93" s="288"/>
      <c r="H93" s="288"/>
      <c r="I93" s="311"/>
      <c r="J93" s="288"/>
      <c r="K93" s="288"/>
      <c r="L93" s="288"/>
      <c r="M93" s="288"/>
      <c r="N93" s="288"/>
      <c r="O93" s="288"/>
      <c r="P93" s="288"/>
      <c r="Q93" s="288"/>
      <c r="R93" s="305"/>
      <c r="S93" s="288"/>
      <c r="T93" s="326"/>
      <c r="U93" s="338"/>
    </row>
    <row r="94" spans="1:21" s="15" customFormat="1">
      <c r="A94" s="331" t="s">
        <v>3461</v>
      </c>
      <c r="B94" s="351" t="s">
        <v>2653</v>
      </c>
      <c r="C94" s="351" t="s">
        <v>2653</v>
      </c>
      <c r="D94" s="351" t="s">
        <v>2653</v>
      </c>
      <c r="E94" s="351" t="s">
        <v>2653</v>
      </c>
      <c r="F94" s="351" t="s">
        <v>2653</v>
      </c>
      <c r="G94" s="288"/>
      <c r="H94" s="288"/>
      <c r="I94" s="311"/>
      <c r="J94" s="288"/>
      <c r="K94" s="288"/>
      <c r="L94" s="288"/>
      <c r="M94" s="288"/>
      <c r="N94" s="288"/>
      <c r="O94" s="288"/>
      <c r="P94" s="288"/>
      <c r="Q94" s="288"/>
      <c r="R94" s="305"/>
      <c r="S94" s="288"/>
      <c r="T94" s="326"/>
      <c r="U94" s="338"/>
    </row>
    <row r="95" spans="1:21" s="15" customFormat="1" ht="60">
      <c r="A95" s="333" t="s">
        <v>3462</v>
      </c>
      <c r="B95" s="87" t="s">
        <v>133</v>
      </c>
      <c r="C95" s="87">
        <v>102073</v>
      </c>
      <c r="D95" s="292" t="s">
        <v>2654</v>
      </c>
      <c r="E95" s="87" t="s">
        <v>38</v>
      </c>
      <c r="F95" s="284">
        <v>1.89</v>
      </c>
      <c r="G95" s="291">
        <v>5116.43</v>
      </c>
      <c r="H95" s="291">
        <f>ROUND((G95*F95),2)</f>
        <v>9670.0499999999993</v>
      </c>
      <c r="I95" s="309">
        <f t="shared" si="15"/>
        <v>2.362681041630504E-4</v>
      </c>
      <c r="J95" s="291"/>
      <c r="K95" s="291"/>
      <c r="L95" s="291"/>
      <c r="M95" s="291"/>
      <c r="N95" s="291"/>
      <c r="O95" s="291"/>
      <c r="P95" s="291"/>
      <c r="Q95" s="291"/>
      <c r="R95" s="306">
        <v>0</v>
      </c>
      <c r="S95" s="291">
        <f t="shared" ref="S95" si="23">R95*G95</f>
        <v>0</v>
      </c>
      <c r="T95" s="327">
        <f t="shared" si="17"/>
        <v>1.89</v>
      </c>
      <c r="U95" s="334">
        <f t="shared" si="18"/>
        <v>9670.0527000000002</v>
      </c>
    </row>
    <row r="96" spans="1:21" s="15" customFormat="1">
      <c r="A96" s="336"/>
      <c r="B96" s="293"/>
      <c r="C96" s="293"/>
      <c r="D96" s="294" t="s">
        <v>2593</v>
      </c>
      <c r="E96" s="293"/>
      <c r="F96" s="316"/>
      <c r="G96" s="295">
        <v>0</v>
      </c>
      <c r="H96" s="296">
        <f>SUM(H95)</f>
        <v>9670.0499999999993</v>
      </c>
      <c r="I96" s="310">
        <f t="shared" si="15"/>
        <v>2.362681041630504E-4</v>
      </c>
      <c r="J96" s="296"/>
      <c r="K96" s="296"/>
      <c r="L96" s="296"/>
      <c r="M96" s="296"/>
      <c r="N96" s="296"/>
      <c r="O96" s="296"/>
      <c r="P96" s="296"/>
      <c r="Q96" s="296"/>
      <c r="R96" s="307"/>
      <c r="S96" s="296">
        <f>SUM(S95)</f>
        <v>0</v>
      </c>
      <c r="T96" s="329"/>
      <c r="U96" s="337">
        <f>SUM(U95)</f>
        <v>9670.0527000000002</v>
      </c>
    </row>
    <row r="97" spans="1:21" s="15" customFormat="1">
      <c r="A97" s="331" t="s">
        <v>3463</v>
      </c>
      <c r="B97" s="351" t="s">
        <v>2655</v>
      </c>
      <c r="C97" s="351" t="s">
        <v>2655</v>
      </c>
      <c r="D97" s="351" t="s">
        <v>2655</v>
      </c>
      <c r="E97" s="351" t="s">
        <v>2655</v>
      </c>
      <c r="F97" s="351" t="s">
        <v>2655</v>
      </c>
      <c r="G97" s="288"/>
      <c r="H97" s="288"/>
      <c r="I97" s="311"/>
      <c r="J97" s="288"/>
      <c r="K97" s="288"/>
      <c r="L97" s="288"/>
      <c r="M97" s="288"/>
      <c r="N97" s="288"/>
      <c r="O97" s="288"/>
      <c r="P97" s="288"/>
      <c r="Q97" s="288"/>
      <c r="R97" s="305"/>
      <c r="S97" s="288"/>
      <c r="T97" s="326"/>
      <c r="U97" s="338"/>
    </row>
    <row r="98" spans="1:21" s="15" customFormat="1">
      <c r="A98" s="331" t="s">
        <v>3464</v>
      </c>
      <c r="B98" s="351" t="s">
        <v>204</v>
      </c>
      <c r="C98" s="351" t="s">
        <v>204</v>
      </c>
      <c r="D98" s="351" t="s">
        <v>204</v>
      </c>
      <c r="E98" s="351" t="s">
        <v>204</v>
      </c>
      <c r="F98" s="351" t="s">
        <v>204</v>
      </c>
      <c r="G98" s="288"/>
      <c r="H98" s="288"/>
      <c r="I98" s="311"/>
      <c r="J98" s="288"/>
      <c r="K98" s="288"/>
      <c r="L98" s="288"/>
      <c r="M98" s="288"/>
      <c r="N98" s="288"/>
      <c r="O98" s="288"/>
      <c r="P98" s="288"/>
      <c r="Q98" s="288"/>
      <c r="R98" s="305"/>
      <c r="S98" s="288"/>
      <c r="T98" s="326"/>
      <c r="U98" s="338"/>
    </row>
    <row r="99" spans="1:21" s="15" customFormat="1">
      <c r="A99" s="331">
        <v>5</v>
      </c>
      <c r="B99" s="351" t="s">
        <v>208</v>
      </c>
      <c r="C99" s="351" t="s">
        <v>208</v>
      </c>
      <c r="D99" s="351" t="s">
        <v>208</v>
      </c>
      <c r="E99" s="351" t="s">
        <v>208</v>
      </c>
      <c r="F99" s="351" t="s">
        <v>208</v>
      </c>
      <c r="G99" s="288"/>
      <c r="H99" s="288"/>
      <c r="I99" s="311"/>
      <c r="J99" s="288"/>
      <c r="K99" s="288"/>
      <c r="L99" s="288"/>
      <c r="M99" s="288"/>
      <c r="N99" s="288"/>
      <c r="O99" s="288"/>
      <c r="P99" s="288"/>
      <c r="Q99" s="288"/>
      <c r="R99" s="305"/>
      <c r="S99" s="288"/>
      <c r="T99" s="326"/>
      <c r="U99" s="338"/>
    </row>
    <row r="100" spans="1:21" s="15" customFormat="1">
      <c r="A100" s="331" t="s">
        <v>3465</v>
      </c>
      <c r="B100" s="351" t="s">
        <v>210</v>
      </c>
      <c r="C100" s="351" t="s">
        <v>210</v>
      </c>
      <c r="D100" s="351" t="s">
        <v>210</v>
      </c>
      <c r="E100" s="351" t="s">
        <v>210</v>
      </c>
      <c r="F100" s="351" t="s">
        <v>210</v>
      </c>
      <c r="G100" s="288"/>
      <c r="H100" s="288"/>
      <c r="I100" s="311"/>
      <c r="J100" s="288"/>
      <c r="K100" s="288"/>
      <c r="L100" s="288"/>
      <c r="M100" s="288"/>
      <c r="N100" s="288"/>
      <c r="O100" s="288"/>
      <c r="P100" s="288"/>
      <c r="Q100" s="288"/>
      <c r="R100" s="305"/>
      <c r="S100" s="288"/>
      <c r="T100" s="326"/>
      <c r="U100" s="338"/>
    </row>
    <row r="101" spans="1:21" s="15" customFormat="1">
      <c r="A101" s="331" t="s">
        <v>3466</v>
      </c>
      <c r="B101" s="351" t="s">
        <v>212</v>
      </c>
      <c r="C101" s="351" t="s">
        <v>212</v>
      </c>
      <c r="D101" s="351" t="s">
        <v>212</v>
      </c>
      <c r="E101" s="351" t="s">
        <v>212</v>
      </c>
      <c r="F101" s="351" t="s">
        <v>212</v>
      </c>
      <c r="G101" s="288"/>
      <c r="H101" s="288"/>
      <c r="I101" s="311"/>
      <c r="J101" s="288"/>
      <c r="K101" s="288"/>
      <c r="L101" s="288"/>
      <c r="M101" s="288"/>
      <c r="N101" s="288"/>
      <c r="O101" s="288"/>
      <c r="P101" s="288"/>
      <c r="Q101" s="288"/>
      <c r="R101" s="305"/>
      <c r="S101" s="288"/>
      <c r="T101" s="326"/>
      <c r="U101" s="338"/>
    </row>
    <row r="102" spans="1:21" s="15" customFormat="1" ht="45">
      <c r="A102" s="333" t="s">
        <v>3467</v>
      </c>
      <c r="B102" s="87" t="s">
        <v>2649</v>
      </c>
      <c r="C102" s="87" t="s">
        <v>2656</v>
      </c>
      <c r="D102" s="292" t="s">
        <v>2657</v>
      </c>
      <c r="E102" s="87" t="s">
        <v>25</v>
      </c>
      <c r="F102" s="284">
        <v>2641.3</v>
      </c>
      <c r="G102" s="291">
        <v>1997.38</v>
      </c>
      <c r="H102" s="291">
        <f>ROUND((G102*F102),2)</f>
        <v>5275679.79</v>
      </c>
      <c r="I102" s="309">
        <f t="shared" si="15"/>
        <v>0.12890056019923579</v>
      </c>
      <c r="J102" s="291"/>
      <c r="K102" s="291"/>
      <c r="L102" s="291"/>
      <c r="M102" s="291"/>
      <c r="N102" s="291"/>
      <c r="O102" s="291"/>
      <c r="P102" s="291"/>
      <c r="Q102" s="291"/>
      <c r="R102" s="306">
        <v>0</v>
      </c>
      <c r="S102" s="291">
        <f t="shared" ref="S102:S104" si="24">R102*G102</f>
        <v>0</v>
      </c>
      <c r="T102" s="327">
        <f t="shared" si="17"/>
        <v>2641.3</v>
      </c>
      <c r="U102" s="334">
        <f t="shared" si="18"/>
        <v>5275679.7940000007</v>
      </c>
    </row>
    <row r="103" spans="1:21" s="15" customFormat="1" ht="42" customHeight="1">
      <c r="A103" s="333" t="s">
        <v>3468</v>
      </c>
      <c r="B103" s="87" t="s">
        <v>1810</v>
      </c>
      <c r="C103" s="87" t="s">
        <v>2658</v>
      </c>
      <c r="D103" s="290" t="s">
        <v>2659</v>
      </c>
      <c r="E103" s="87" t="s">
        <v>25</v>
      </c>
      <c r="F103" s="284">
        <v>82.669999999999987</v>
      </c>
      <c r="G103" s="291">
        <v>510.49</v>
      </c>
      <c r="H103" s="291">
        <f>ROUND((G103*F103),2)</f>
        <v>42202.21</v>
      </c>
      <c r="I103" s="309">
        <f t="shared" si="15"/>
        <v>1.0311256041272722E-3</v>
      </c>
      <c r="J103" s="291"/>
      <c r="K103" s="291"/>
      <c r="L103" s="291"/>
      <c r="M103" s="291"/>
      <c r="N103" s="291"/>
      <c r="O103" s="291"/>
      <c r="P103" s="291"/>
      <c r="Q103" s="291"/>
      <c r="R103" s="306">
        <v>0</v>
      </c>
      <c r="S103" s="291">
        <f t="shared" si="24"/>
        <v>0</v>
      </c>
      <c r="T103" s="327">
        <f t="shared" si="17"/>
        <v>82.669999999999987</v>
      </c>
      <c r="U103" s="334">
        <f t="shared" si="18"/>
        <v>42202.208299999991</v>
      </c>
    </row>
    <row r="104" spans="1:21" s="15" customFormat="1" ht="30">
      <c r="A104" s="333" t="s">
        <v>3469</v>
      </c>
      <c r="B104" s="87" t="s">
        <v>2649</v>
      </c>
      <c r="C104" s="87" t="s">
        <v>2656</v>
      </c>
      <c r="D104" s="292" t="s">
        <v>2660</v>
      </c>
      <c r="E104" s="87" t="s">
        <v>25</v>
      </c>
      <c r="F104" s="284">
        <v>3369.9799999999996</v>
      </c>
      <c r="G104" s="291">
        <v>1997.38</v>
      </c>
      <c r="H104" s="291">
        <f>ROUND((G104*F104),2)</f>
        <v>6731130.6500000004</v>
      </c>
      <c r="I104" s="309">
        <f t="shared" si="15"/>
        <v>0.16446155682228131</v>
      </c>
      <c r="J104" s="291"/>
      <c r="K104" s="291"/>
      <c r="L104" s="291"/>
      <c r="M104" s="291"/>
      <c r="N104" s="291"/>
      <c r="O104" s="291"/>
      <c r="P104" s="291"/>
      <c r="Q104" s="291"/>
      <c r="R104" s="306">
        <v>0</v>
      </c>
      <c r="S104" s="291">
        <f t="shared" si="24"/>
        <v>0</v>
      </c>
      <c r="T104" s="327">
        <f t="shared" si="17"/>
        <v>3369.9799999999996</v>
      </c>
      <c r="U104" s="334">
        <f t="shared" si="18"/>
        <v>6731130.6523999991</v>
      </c>
    </row>
    <row r="105" spans="1:21" s="15" customFormat="1">
      <c r="A105" s="336"/>
      <c r="B105" s="293"/>
      <c r="C105" s="293"/>
      <c r="D105" s="294" t="s">
        <v>2593</v>
      </c>
      <c r="E105" s="293"/>
      <c r="F105" s="316"/>
      <c r="G105" s="295">
        <v>0</v>
      </c>
      <c r="H105" s="296">
        <f>SUM(H102:H104)</f>
        <v>12049012.65</v>
      </c>
      <c r="I105" s="310">
        <f t="shared" si="15"/>
        <v>0.29439324262564437</v>
      </c>
      <c r="J105" s="296"/>
      <c r="K105" s="296"/>
      <c r="L105" s="296"/>
      <c r="M105" s="296"/>
      <c r="N105" s="296"/>
      <c r="O105" s="296"/>
      <c r="P105" s="296"/>
      <c r="Q105" s="296"/>
      <c r="R105" s="307"/>
      <c r="S105" s="296">
        <f>SUM(S104)</f>
        <v>0</v>
      </c>
      <c r="T105" s="329"/>
      <c r="U105" s="337">
        <f>SUM(U102:U104)</f>
        <v>12049012.6547</v>
      </c>
    </row>
    <row r="106" spans="1:21" s="15" customFormat="1">
      <c r="A106" s="331" t="s">
        <v>3470</v>
      </c>
      <c r="B106" s="351" t="s">
        <v>2661</v>
      </c>
      <c r="C106" s="351" t="s">
        <v>2661</v>
      </c>
      <c r="D106" s="351" t="s">
        <v>2661</v>
      </c>
      <c r="E106" s="351" t="s">
        <v>2661</v>
      </c>
      <c r="F106" s="351" t="s">
        <v>2661</v>
      </c>
      <c r="G106" s="288">
        <v>0</v>
      </c>
      <c r="H106" s="288"/>
      <c r="I106" s="311">
        <f t="shared" si="15"/>
        <v>0</v>
      </c>
      <c r="J106" s="288"/>
      <c r="K106" s="288"/>
      <c r="L106" s="288"/>
      <c r="M106" s="288"/>
      <c r="N106" s="288"/>
      <c r="O106" s="288"/>
      <c r="P106" s="288"/>
      <c r="Q106" s="288"/>
      <c r="R106" s="305"/>
      <c r="S106" s="288"/>
      <c r="T106" s="326"/>
      <c r="U106" s="338"/>
    </row>
    <row r="107" spans="1:21" s="15" customFormat="1" ht="57.75" customHeight="1">
      <c r="A107" s="333" t="s">
        <v>3471</v>
      </c>
      <c r="B107" s="87" t="s">
        <v>1810</v>
      </c>
      <c r="C107" s="87" t="s">
        <v>2662</v>
      </c>
      <c r="D107" s="290" t="s">
        <v>2663</v>
      </c>
      <c r="E107" s="87" t="s">
        <v>107</v>
      </c>
      <c r="F107" s="284">
        <v>8.59</v>
      </c>
      <c r="G107" s="291">
        <v>50.07</v>
      </c>
      <c r="H107" s="291">
        <f>ROUND((G107*F107),2)</f>
        <v>430.1</v>
      </c>
      <c r="I107" s="309">
        <f t="shared" si="15"/>
        <v>1.050862318194094E-5</v>
      </c>
      <c r="J107" s="291"/>
      <c r="K107" s="291"/>
      <c r="L107" s="291"/>
      <c r="M107" s="291"/>
      <c r="N107" s="291"/>
      <c r="O107" s="291"/>
      <c r="P107" s="291"/>
      <c r="Q107" s="291"/>
      <c r="R107" s="306">
        <v>0</v>
      </c>
      <c r="S107" s="291">
        <f t="shared" ref="S107" si="25">R107*G107</f>
        <v>0</v>
      </c>
      <c r="T107" s="327">
        <f t="shared" si="17"/>
        <v>8.59</v>
      </c>
      <c r="U107" s="334">
        <f t="shared" si="18"/>
        <v>430.10129999999998</v>
      </c>
    </row>
    <row r="108" spans="1:21" s="15" customFormat="1">
      <c r="A108" s="336"/>
      <c r="B108" s="293"/>
      <c r="C108" s="293"/>
      <c r="D108" s="294" t="s">
        <v>2593</v>
      </c>
      <c r="E108" s="293"/>
      <c r="F108" s="316"/>
      <c r="G108" s="295">
        <v>0</v>
      </c>
      <c r="H108" s="296">
        <f>SUM(H107)</f>
        <v>430.1</v>
      </c>
      <c r="I108" s="310">
        <f t="shared" si="15"/>
        <v>1.050862318194094E-5</v>
      </c>
      <c r="J108" s="296"/>
      <c r="K108" s="296"/>
      <c r="L108" s="296"/>
      <c r="M108" s="296"/>
      <c r="N108" s="296"/>
      <c r="O108" s="296"/>
      <c r="P108" s="296"/>
      <c r="Q108" s="296"/>
      <c r="R108" s="307"/>
      <c r="S108" s="296">
        <f>SUM(S107)</f>
        <v>0</v>
      </c>
      <c r="T108" s="329"/>
      <c r="U108" s="337">
        <f>SUM(U107)</f>
        <v>430.10129999999998</v>
      </c>
    </row>
    <row r="109" spans="1:21" s="15" customFormat="1">
      <c r="A109" s="331" t="s">
        <v>3472</v>
      </c>
      <c r="B109" s="351" t="s">
        <v>231</v>
      </c>
      <c r="C109" s="351" t="s">
        <v>231</v>
      </c>
      <c r="D109" s="351" t="s">
        <v>231</v>
      </c>
      <c r="E109" s="351" t="s">
        <v>231</v>
      </c>
      <c r="F109" s="351" t="s">
        <v>231</v>
      </c>
      <c r="G109" s="288"/>
      <c r="H109" s="288"/>
      <c r="I109" s="311"/>
      <c r="J109" s="288"/>
      <c r="K109" s="288"/>
      <c r="L109" s="288"/>
      <c r="M109" s="288"/>
      <c r="N109" s="288"/>
      <c r="O109" s="288"/>
      <c r="P109" s="288"/>
      <c r="Q109" s="288"/>
      <c r="R109" s="305"/>
      <c r="S109" s="288"/>
      <c r="T109" s="326"/>
      <c r="U109" s="338"/>
    </row>
    <row r="110" spans="1:21" s="15" customFormat="1">
      <c r="A110" s="331" t="s">
        <v>3473</v>
      </c>
      <c r="B110" s="351" t="s">
        <v>233</v>
      </c>
      <c r="C110" s="351" t="s">
        <v>233</v>
      </c>
      <c r="D110" s="351" t="s">
        <v>233</v>
      </c>
      <c r="E110" s="351" t="s">
        <v>233</v>
      </c>
      <c r="F110" s="351" t="s">
        <v>233</v>
      </c>
      <c r="G110" s="288"/>
      <c r="H110" s="288"/>
      <c r="I110" s="311"/>
      <c r="J110" s="288"/>
      <c r="K110" s="288"/>
      <c r="L110" s="288"/>
      <c r="M110" s="288"/>
      <c r="N110" s="288"/>
      <c r="O110" s="288"/>
      <c r="P110" s="288"/>
      <c r="Q110" s="288"/>
      <c r="R110" s="305"/>
      <c r="S110" s="288"/>
      <c r="T110" s="326"/>
      <c r="U110" s="338"/>
    </row>
    <row r="111" spans="1:21" s="15" customFormat="1" ht="102.75" customHeight="1">
      <c r="A111" s="333" t="s">
        <v>3474</v>
      </c>
      <c r="B111" s="87" t="s">
        <v>1810</v>
      </c>
      <c r="C111" s="87" t="s">
        <v>2664</v>
      </c>
      <c r="D111" s="290" t="s">
        <v>2665</v>
      </c>
      <c r="E111" s="87" t="s">
        <v>25</v>
      </c>
      <c r="F111" s="284">
        <v>699.9</v>
      </c>
      <c r="G111" s="291">
        <v>108.02</v>
      </c>
      <c r="H111" s="291">
        <f>ROUND((G111*F111),2)</f>
        <v>75603.199999999997</v>
      </c>
      <c r="I111" s="309">
        <f t="shared" si="15"/>
        <v>1.8472112070423558E-3</v>
      </c>
      <c r="J111" s="291"/>
      <c r="K111" s="291"/>
      <c r="L111" s="291"/>
      <c r="M111" s="291"/>
      <c r="N111" s="291"/>
      <c r="O111" s="291"/>
      <c r="P111" s="291"/>
      <c r="Q111" s="291"/>
      <c r="R111" s="306">
        <v>0</v>
      </c>
      <c r="S111" s="291">
        <f t="shared" ref="S111" si="26">R111*G111</f>
        <v>0</v>
      </c>
      <c r="T111" s="327">
        <f t="shared" si="17"/>
        <v>699.9</v>
      </c>
      <c r="U111" s="334">
        <f t="shared" si="18"/>
        <v>75603.197999999989</v>
      </c>
    </row>
    <row r="112" spans="1:21" s="15" customFormat="1">
      <c r="A112" s="336"/>
      <c r="B112" s="293"/>
      <c r="C112" s="293"/>
      <c r="D112" s="294" t="s">
        <v>2593</v>
      </c>
      <c r="E112" s="293"/>
      <c r="F112" s="316"/>
      <c r="G112" s="295">
        <v>0</v>
      </c>
      <c r="H112" s="296">
        <f>SUM(H111)</f>
        <v>75603.199999999997</v>
      </c>
      <c r="I112" s="310">
        <f t="shared" si="15"/>
        <v>1.8472112070423558E-3</v>
      </c>
      <c r="J112" s="296"/>
      <c r="K112" s="296"/>
      <c r="L112" s="296"/>
      <c r="M112" s="296"/>
      <c r="N112" s="296"/>
      <c r="O112" s="296"/>
      <c r="P112" s="296"/>
      <c r="Q112" s="296"/>
      <c r="R112" s="307">
        <v>0</v>
      </c>
      <c r="S112" s="296">
        <f>SUM(S111)</f>
        <v>0</v>
      </c>
      <c r="T112" s="329"/>
      <c r="U112" s="337">
        <f t="shared" ref="U112" si="27">SUM(U111)</f>
        <v>75603.197999999989</v>
      </c>
    </row>
    <row r="113" spans="1:21" s="15" customFormat="1">
      <c r="A113" s="331">
        <v>6</v>
      </c>
      <c r="B113" s="351" t="s">
        <v>245</v>
      </c>
      <c r="C113" s="351" t="s">
        <v>245</v>
      </c>
      <c r="D113" s="351" t="s">
        <v>245</v>
      </c>
      <c r="E113" s="351" t="s">
        <v>245</v>
      </c>
      <c r="F113" s="351" t="s">
        <v>245</v>
      </c>
      <c r="G113" s="288"/>
      <c r="H113" s="288"/>
      <c r="I113" s="311"/>
      <c r="J113" s="288"/>
      <c r="K113" s="288"/>
      <c r="L113" s="288"/>
      <c r="M113" s="288"/>
      <c r="N113" s="288"/>
      <c r="O113" s="288"/>
      <c r="P113" s="288"/>
      <c r="Q113" s="288"/>
      <c r="R113" s="305"/>
      <c r="S113" s="288"/>
      <c r="T113" s="326"/>
      <c r="U113" s="338"/>
    </row>
    <row r="114" spans="1:21" s="15" customFormat="1">
      <c r="A114" s="331" t="s">
        <v>3475</v>
      </c>
      <c r="B114" s="351" t="s">
        <v>247</v>
      </c>
      <c r="C114" s="351" t="s">
        <v>247</v>
      </c>
      <c r="D114" s="351" t="s">
        <v>247</v>
      </c>
      <c r="E114" s="351" t="s">
        <v>247</v>
      </c>
      <c r="F114" s="351" t="s">
        <v>247</v>
      </c>
      <c r="G114" s="288"/>
      <c r="H114" s="288"/>
      <c r="I114" s="311"/>
      <c r="J114" s="288"/>
      <c r="K114" s="288"/>
      <c r="L114" s="288"/>
      <c r="M114" s="288"/>
      <c r="N114" s="288"/>
      <c r="O114" s="288"/>
      <c r="P114" s="288"/>
      <c r="Q114" s="288"/>
      <c r="R114" s="305"/>
      <c r="S114" s="288"/>
      <c r="T114" s="326"/>
      <c r="U114" s="338"/>
    </row>
    <row r="115" spans="1:21" s="15" customFormat="1" ht="45">
      <c r="A115" s="333" t="s">
        <v>3476</v>
      </c>
      <c r="B115" s="87" t="s">
        <v>1810</v>
      </c>
      <c r="C115" s="87" t="s">
        <v>2666</v>
      </c>
      <c r="D115" s="290" t="s">
        <v>2667</v>
      </c>
      <c r="E115" s="87" t="s">
        <v>48</v>
      </c>
      <c r="F115" s="284">
        <v>58</v>
      </c>
      <c r="G115" s="291">
        <v>470.18</v>
      </c>
      <c r="H115" s="291">
        <f>ROUND((G115*F115),2)</f>
        <v>27270.44</v>
      </c>
      <c r="I115" s="309">
        <f t="shared" si="15"/>
        <v>6.6629801898565328E-4</v>
      </c>
      <c r="J115" s="291"/>
      <c r="K115" s="291"/>
      <c r="L115" s="291"/>
      <c r="M115" s="291"/>
      <c r="N115" s="291"/>
      <c r="O115" s="291"/>
      <c r="P115" s="291"/>
      <c r="Q115" s="291"/>
      <c r="R115" s="306">
        <v>0</v>
      </c>
      <c r="S115" s="291">
        <f t="shared" ref="S115:S117" si="28">R115*G115</f>
        <v>0</v>
      </c>
      <c r="T115" s="327">
        <f t="shared" si="17"/>
        <v>58</v>
      </c>
      <c r="U115" s="334">
        <f t="shared" si="18"/>
        <v>27270.44</v>
      </c>
    </row>
    <row r="116" spans="1:21" s="15" customFormat="1" ht="45">
      <c r="A116" s="333" t="s">
        <v>3477</v>
      </c>
      <c r="B116" s="87" t="s">
        <v>1810</v>
      </c>
      <c r="C116" s="87" t="s">
        <v>2668</v>
      </c>
      <c r="D116" s="290" t="s">
        <v>2669</v>
      </c>
      <c r="E116" s="87" t="s">
        <v>48</v>
      </c>
      <c r="F116" s="284">
        <v>33</v>
      </c>
      <c r="G116" s="291">
        <v>437.89</v>
      </c>
      <c r="H116" s="291">
        <f>ROUND((G116*F116),2)</f>
        <v>14450.37</v>
      </c>
      <c r="I116" s="309">
        <f t="shared" si="15"/>
        <v>3.5306555026650522E-4</v>
      </c>
      <c r="J116" s="291"/>
      <c r="K116" s="291"/>
      <c r="L116" s="291"/>
      <c r="M116" s="291"/>
      <c r="N116" s="291"/>
      <c r="O116" s="291"/>
      <c r="P116" s="291"/>
      <c r="Q116" s="291"/>
      <c r="R116" s="306">
        <v>0</v>
      </c>
      <c r="S116" s="291">
        <f t="shared" si="28"/>
        <v>0</v>
      </c>
      <c r="T116" s="327">
        <f t="shared" si="17"/>
        <v>33</v>
      </c>
      <c r="U116" s="334">
        <f t="shared" si="18"/>
        <v>14450.369999999999</v>
      </c>
    </row>
    <row r="117" spans="1:21" s="15" customFormat="1" ht="45">
      <c r="A117" s="333" t="s">
        <v>3478</v>
      </c>
      <c r="B117" s="87" t="s">
        <v>1810</v>
      </c>
      <c r="C117" s="87" t="s">
        <v>2670</v>
      </c>
      <c r="D117" s="290" t="s">
        <v>2671</v>
      </c>
      <c r="E117" s="87" t="s">
        <v>48</v>
      </c>
      <c r="F117" s="284">
        <v>4</v>
      </c>
      <c r="G117" s="291">
        <v>437.89</v>
      </c>
      <c r="H117" s="291">
        <f>ROUND((G117*F117),2)</f>
        <v>1751.56</v>
      </c>
      <c r="I117" s="309">
        <f t="shared" si="15"/>
        <v>4.2795824274727906E-5</v>
      </c>
      <c r="J117" s="291"/>
      <c r="K117" s="291"/>
      <c r="L117" s="291"/>
      <c r="M117" s="291"/>
      <c r="N117" s="291"/>
      <c r="O117" s="291"/>
      <c r="P117" s="291"/>
      <c r="Q117" s="291"/>
      <c r="R117" s="306">
        <v>0</v>
      </c>
      <c r="S117" s="291">
        <f t="shared" si="28"/>
        <v>0</v>
      </c>
      <c r="T117" s="327">
        <f t="shared" si="17"/>
        <v>4</v>
      </c>
      <c r="U117" s="334">
        <f t="shared" si="18"/>
        <v>1751.56</v>
      </c>
    </row>
    <row r="118" spans="1:21" s="15" customFormat="1">
      <c r="A118" s="336"/>
      <c r="B118" s="293"/>
      <c r="C118" s="293"/>
      <c r="D118" s="294" t="s">
        <v>2593</v>
      </c>
      <c r="E118" s="293"/>
      <c r="F118" s="316"/>
      <c r="G118" s="295">
        <v>0</v>
      </c>
      <c r="H118" s="296">
        <f>SUM(H115:H117)</f>
        <v>43472.369999999995</v>
      </c>
      <c r="I118" s="310">
        <f t="shared" si="15"/>
        <v>1.0621593935268862E-3</v>
      </c>
      <c r="J118" s="296"/>
      <c r="K118" s="296"/>
      <c r="L118" s="296"/>
      <c r="M118" s="296"/>
      <c r="N118" s="296"/>
      <c r="O118" s="296"/>
      <c r="P118" s="296"/>
      <c r="Q118" s="296"/>
      <c r="R118" s="307"/>
      <c r="S118" s="296">
        <f>SUM(S115:S117)</f>
        <v>0</v>
      </c>
      <c r="T118" s="329"/>
      <c r="U118" s="337">
        <f t="shared" ref="U118" si="29">SUM(U115:U117)</f>
        <v>43472.369999999995</v>
      </c>
    </row>
    <row r="119" spans="1:21" s="15" customFormat="1">
      <c r="A119" s="331" t="s">
        <v>3479</v>
      </c>
      <c r="B119" s="351" t="s">
        <v>249</v>
      </c>
      <c r="C119" s="351" t="s">
        <v>249</v>
      </c>
      <c r="D119" s="351" t="s">
        <v>249</v>
      </c>
      <c r="E119" s="351" t="s">
        <v>249</v>
      </c>
      <c r="F119" s="351" t="s">
        <v>249</v>
      </c>
      <c r="G119" s="288"/>
      <c r="H119" s="288"/>
      <c r="I119" s="311"/>
      <c r="J119" s="288"/>
      <c r="K119" s="288"/>
      <c r="L119" s="288"/>
      <c r="M119" s="288"/>
      <c r="N119" s="288"/>
      <c r="O119" s="288"/>
      <c r="P119" s="288"/>
      <c r="Q119" s="288"/>
      <c r="R119" s="305"/>
      <c r="S119" s="288"/>
      <c r="T119" s="326"/>
      <c r="U119" s="338"/>
    </row>
    <row r="120" spans="1:21" s="15" customFormat="1" ht="45">
      <c r="A120" s="333" t="s">
        <v>3480</v>
      </c>
      <c r="B120" s="87" t="s">
        <v>133</v>
      </c>
      <c r="C120" s="315" t="s">
        <v>2672</v>
      </c>
      <c r="D120" s="292" t="s">
        <v>2673</v>
      </c>
      <c r="E120" s="87" t="s">
        <v>107</v>
      </c>
      <c r="F120" s="284">
        <v>2.1</v>
      </c>
      <c r="G120" s="291">
        <v>23.77</v>
      </c>
      <c r="H120" s="291">
        <f>ROUND((G120*F120),2)</f>
        <v>49.92</v>
      </c>
      <c r="I120" s="309">
        <f t="shared" si="15"/>
        <v>1.219694185637042E-6</v>
      </c>
      <c r="J120" s="291"/>
      <c r="K120" s="291"/>
      <c r="L120" s="291"/>
      <c r="M120" s="291"/>
      <c r="N120" s="291"/>
      <c r="O120" s="291"/>
      <c r="P120" s="291"/>
      <c r="Q120" s="291"/>
      <c r="R120" s="306">
        <v>0</v>
      </c>
      <c r="S120" s="291">
        <f t="shared" ref="S120" si="30">R120*G120</f>
        <v>0</v>
      </c>
      <c r="T120" s="327">
        <f t="shared" si="17"/>
        <v>2.1</v>
      </c>
      <c r="U120" s="334">
        <f t="shared" si="18"/>
        <v>49.917000000000002</v>
      </c>
    </row>
    <row r="121" spans="1:21" s="15" customFormat="1">
      <c r="A121" s="336"/>
      <c r="B121" s="293"/>
      <c r="C121" s="293"/>
      <c r="D121" s="294" t="s">
        <v>2593</v>
      </c>
      <c r="E121" s="293"/>
      <c r="F121" s="316"/>
      <c r="G121" s="295">
        <v>0</v>
      </c>
      <c r="H121" s="296">
        <f>SUM(H120)</f>
        <v>49.92</v>
      </c>
      <c r="I121" s="310">
        <f t="shared" si="15"/>
        <v>1.219694185637042E-6</v>
      </c>
      <c r="J121" s="296"/>
      <c r="K121" s="296"/>
      <c r="L121" s="296"/>
      <c r="M121" s="296"/>
      <c r="N121" s="296"/>
      <c r="O121" s="296"/>
      <c r="P121" s="296"/>
      <c r="Q121" s="296"/>
      <c r="R121" s="307"/>
      <c r="S121" s="296">
        <f>SUM(S120)</f>
        <v>0</v>
      </c>
      <c r="T121" s="329"/>
      <c r="U121" s="337">
        <f t="shared" ref="U121" si="31">SUM(U120)</f>
        <v>49.917000000000002</v>
      </c>
    </row>
    <row r="122" spans="1:21" s="15" customFormat="1" ht="60" customHeight="1">
      <c r="A122" s="331" t="s">
        <v>3481</v>
      </c>
      <c r="B122" s="352" t="s">
        <v>2674</v>
      </c>
      <c r="C122" s="352" t="s">
        <v>2674</v>
      </c>
      <c r="D122" s="352" t="s">
        <v>2674</v>
      </c>
      <c r="E122" s="352" t="s">
        <v>2674</v>
      </c>
      <c r="F122" s="352" t="s">
        <v>2674</v>
      </c>
      <c r="G122" s="288"/>
      <c r="H122" s="288"/>
      <c r="I122" s="311"/>
      <c r="J122" s="288"/>
      <c r="K122" s="288"/>
      <c r="L122" s="288"/>
      <c r="M122" s="288"/>
      <c r="N122" s="288"/>
      <c r="O122" s="288"/>
      <c r="P122" s="288"/>
      <c r="Q122" s="288"/>
      <c r="R122" s="305"/>
      <c r="S122" s="288"/>
      <c r="T122" s="326"/>
      <c r="U122" s="338"/>
    </row>
    <row r="123" spans="1:21" s="15" customFormat="1" ht="90">
      <c r="A123" s="333" t="s">
        <v>3482</v>
      </c>
      <c r="B123" s="87" t="s">
        <v>1810</v>
      </c>
      <c r="C123" s="87" t="s">
        <v>2675</v>
      </c>
      <c r="D123" s="290" t="s">
        <v>2676</v>
      </c>
      <c r="E123" s="87" t="s">
        <v>48</v>
      </c>
      <c r="F123" s="284">
        <v>34</v>
      </c>
      <c r="G123" s="291">
        <v>1220.1199999999999</v>
      </c>
      <c r="H123" s="291">
        <f>ROUND((G123*F123),2)</f>
        <v>41484.080000000002</v>
      </c>
      <c r="I123" s="309">
        <f t="shared" si="15"/>
        <v>1.0135795507312079E-3</v>
      </c>
      <c r="J123" s="291"/>
      <c r="K123" s="291"/>
      <c r="L123" s="291"/>
      <c r="M123" s="291"/>
      <c r="N123" s="291"/>
      <c r="O123" s="291"/>
      <c r="P123" s="291"/>
      <c r="Q123" s="291"/>
      <c r="R123" s="306">
        <v>0</v>
      </c>
      <c r="S123" s="291">
        <f t="shared" ref="S123:S126" si="32">R123*G123</f>
        <v>0</v>
      </c>
      <c r="T123" s="327">
        <f t="shared" si="17"/>
        <v>34</v>
      </c>
      <c r="U123" s="334">
        <f t="shared" si="18"/>
        <v>41484.079999999994</v>
      </c>
    </row>
    <row r="124" spans="1:21" s="15" customFormat="1" ht="60.75" customHeight="1">
      <c r="A124" s="333" t="s">
        <v>3483</v>
      </c>
      <c r="B124" s="87" t="s">
        <v>1810</v>
      </c>
      <c r="C124" s="87" t="s">
        <v>2677</v>
      </c>
      <c r="D124" s="290" t="s">
        <v>2678</v>
      </c>
      <c r="E124" s="87" t="s">
        <v>48</v>
      </c>
      <c r="F124" s="284">
        <v>21</v>
      </c>
      <c r="G124" s="291">
        <v>207.68</v>
      </c>
      <c r="H124" s="291">
        <f>ROUND((G124*F124),2)</f>
        <v>4361.28</v>
      </c>
      <c r="I124" s="309">
        <f t="shared" si="15"/>
        <v>1.0655905164132848E-4</v>
      </c>
      <c r="J124" s="291"/>
      <c r="K124" s="291"/>
      <c r="L124" s="291"/>
      <c r="M124" s="291"/>
      <c r="N124" s="291"/>
      <c r="O124" s="291"/>
      <c r="P124" s="291"/>
      <c r="Q124" s="291"/>
      <c r="R124" s="306">
        <v>0</v>
      </c>
      <c r="S124" s="291">
        <f t="shared" si="32"/>
        <v>0</v>
      </c>
      <c r="T124" s="327">
        <f t="shared" si="17"/>
        <v>21</v>
      </c>
      <c r="U124" s="334">
        <f t="shared" si="18"/>
        <v>4361.28</v>
      </c>
    </row>
    <row r="125" spans="1:21" s="15" customFormat="1" ht="90">
      <c r="A125" s="333" t="s">
        <v>3484</v>
      </c>
      <c r="B125" s="87" t="s">
        <v>1810</v>
      </c>
      <c r="C125" s="87" t="s">
        <v>2679</v>
      </c>
      <c r="D125" s="290" t="s">
        <v>2680</v>
      </c>
      <c r="E125" s="87" t="s">
        <v>48</v>
      </c>
      <c r="F125" s="284">
        <v>22</v>
      </c>
      <c r="G125" s="291">
        <v>1267.83</v>
      </c>
      <c r="H125" s="291">
        <f>ROUND((G125*F125),2)</f>
        <v>27892.26</v>
      </c>
      <c r="I125" s="309">
        <f t="shared" si="15"/>
        <v>6.8149093241740054E-4</v>
      </c>
      <c r="J125" s="291"/>
      <c r="K125" s="291"/>
      <c r="L125" s="291"/>
      <c r="M125" s="291"/>
      <c r="N125" s="291"/>
      <c r="O125" s="291"/>
      <c r="P125" s="291"/>
      <c r="Q125" s="291"/>
      <c r="R125" s="306">
        <v>0</v>
      </c>
      <c r="S125" s="291">
        <f t="shared" si="32"/>
        <v>0</v>
      </c>
      <c r="T125" s="327">
        <f t="shared" si="17"/>
        <v>22</v>
      </c>
      <c r="U125" s="334">
        <f t="shared" si="18"/>
        <v>27892.26</v>
      </c>
    </row>
    <row r="126" spans="1:21" s="15" customFormat="1" ht="90">
      <c r="A126" s="333" t="s">
        <v>3485</v>
      </c>
      <c r="B126" s="87" t="s">
        <v>133</v>
      </c>
      <c r="C126" s="87" t="s">
        <v>2681</v>
      </c>
      <c r="D126" s="290" t="s">
        <v>2682</v>
      </c>
      <c r="E126" s="87" t="s">
        <v>48</v>
      </c>
      <c r="F126" s="284">
        <v>2</v>
      </c>
      <c r="G126" s="291">
        <v>1376.73</v>
      </c>
      <c r="H126" s="291">
        <f>ROUND((G126*F126),2)</f>
        <v>2753.46</v>
      </c>
      <c r="I126" s="309">
        <f t="shared" si="15"/>
        <v>6.7275223405131602E-5</v>
      </c>
      <c r="J126" s="291"/>
      <c r="K126" s="291"/>
      <c r="L126" s="291"/>
      <c r="M126" s="291"/>
      <c r="N126" s="291"/>
      <c r="O126" s="291"/>
      <c r="P126" s="291"/>
      <c r="Q126" s="291"/>
      <c r="R126" s="306">
        <v>0</v>
      </c>
      <c r="S126" s="291">
        <f t="shared" si="32"/>
        <v>0</v>
      </c>
      <c r="T126" s="327">
        <f t="shared" si="17"/>
        <v>2</v>
      </c>
      <c r="U126" s="334">
        <f t="shared" si="18"/>
        <v>2753.46</v>
      </c>
    </row>
    <row r="127" spans="1:21" s="15" customFormat="1">
      <c r="A127" s="336"/>
      <c r="B127" s="293"/>
      <c r="C127" s="293"/>
      <c r="D127" s="294" t="s">
        <v>2593</v>
      </c>
      <c r="E127" s="293"/>
      <c r="F127" s="316"/>
      <c r="G127" s="295">
        <v>0</v>
      </c>
      <c r="H127" s="296">
        <f>SUM(H123:H126)</f>
        <v>76491.08</v>
      </c>
      <c r="I127" s="310">
        <f t="shared" si="15"/>
        <v>1.8689047581950686E-3</v>
      </c>
      <c r="J127" s="296"/>
      <c r="K127" s="296"/>
      <c r="L127" s="296"/>
      <c r="M127" s="296"/>
      <c r="N127" s="296"/>
      <c r="O127" s="296"/>
      <c r="P127" s="296"/>
      <c r="Q127" s="296"/>
      <c r="R127" s="307"/>
      <c r="S127" s="296">
        <f>SUM(S123:S126)</f>
        <v>0</v>
      </c>
      <c r="T127" s="329"/>
      <c r="U127" s="337">
        <f t="shared" ref="U127" si="33">SUM(U123:U126)</f>
        <v>76491.08</v>
      </c>
    </row>
    <row r="128" spans="1:21" s="15" customFormat="1">
      <c r="A128" s="331" t="s">
        <v>3486</v>
      </c>
      <c r="B128" s="351" t="s">
        <v>2683</v>
      </c>
      <c r="C128" s="351" t="s">
        <v>2683</v>
      </c>
      <c r="D128" s="351" t="s">
        <v>2683</v>
      </c>
      <c r="E128" s="351" t="s">
        <v>2683</v>
      </c>
      <c r="F128" s="351" t="s">
        <v>2683</v>
      </c>
      <c r="G128" s="288"/>
      <c r="H128" s="288"/>
      <c r="I128" s="311"/>
      <c r="J128" s="288"/>
      <c r="K128" s="288"/>
      <c r="L128" s="288"/>
      <c r="M128" s="288"/>
      <c r="N128" s="288"/>
      <c r="O128" s="288"/>
      <c r="P128" s="288"/>
      <c r="Q128" s="288"/>
      <c r="R128" s="305"/>
      <c r="S128" s="288"/>
      <c r="T128" s="326"/>
      <c r="U128" s="338"/>
    </row>
    <row r="129" spans="1:21" s="15" customFormat="1">
      <c r="A129" s="331" t="s">
        <v>3487</v>
      </c>
      <c r="B129" s="351" t="s">
        <v>2684</v>
      </c>
      <c r="C129" s="351" t="s">
        <v>2684</v>
      </c>
      <c r="D129" s="351" t="s">
        <v>2684</v>
      </c>
      <c r="E129" s="351" t="s">
        <v>2684</v>
      </c>
      <c r="F129" s="351" t="s">
        <v>2684</v>
      </c>
      <c r="G129" s="288"/>
      <c r="H129" s="288"/>
      <c r="I129" s="311"/>
      <c r="J129" s="288"/>
      <c r="K129" s="288"/>
      <c r="L129" s="288"/>
      <c r="M129" s="288"/>
      <c r="N129" s="288"/>
      <c r="O129" s="288"/>
      <c r="P129" s="288"/>
      <c r="Q129" s="288"/>
      <c r="R129" s="305"/>
      <c r="S129" s="288"/>
      <c r="T129" s="326"/>
      <c r="U129" s="338"/>
    </row>
    <row r="130" spans="1:21" s="15" customFormat="1">
      <c r="A130" s="331" t="s">
        <v>3488</v>
      </c>
      <c r="B130" s="351" t="s">
        <v>2117</v>
      </c>
      <c r="C130" s="351" t="s">
        <v>2117</v>
      </c>
      <c r="D130" s="351" t="s">
        <v>2117</v>
      </c>
      <c r="E130" s="351" t="s">
        <v>2117</v>
      </c>
      <c r="F130" s="351" t="s">
        <v>2117</v>
      </c>
      <c r="G130" s="288"/>
      <c r="H130" s="288"/>
      <c r="I130" s="311"/>
      <c r="J130" s="288"/>
      <c r="K130" s="288"/>
      <c r="L130" s="288"/>
      <c r="M130" s="288"/>
      <c r="N130" s="288"/>
      <c r="O130" s="288"/>
      <c r="P130" s="288"/>
      <c r="Q130" s="288"/>
      <c r="R130" s="305"/>
      <c r="S130" s="288"/>
      <c r="T130" s="326"/>
      <c r="U130" s="338"/>
    </row>
    <row r="131" spans="1:21" s="15" customFormat="1">
      <c r="A131" s="331" t="s">
        <v>3489</v>
      </c>
      <c r="B131" s="351" t="s">
        <v>317</v>
      </c>
      <c r="C131" s="351" t="s">
        <v>317</v>
      </c>
      <c r="D131" s="351" t="s">
        <v>317</v>
      </c>
      <c r="E131" s="351" t="s">
        <v>317</v>
      </c>
      <c r="F131" s="351" t="s">
        <v>317</v>
      </c>
      <c r="G131" s="288"/>
      <c r="H131" s="288"/>
      <c r="I131" s="311"/>
      <c r="J131" s="288"/>
      <c r="K131" s="288"/>
      <c r="L131" s="288"/>
      <c r="M131" s="288"/>
      <c r="N131" s="288"/>
      <c r="O131" s="288"/>
      <c r="P131" s="288"/>
      <c r="Q131" s="288"/>
      <c r="R131" s="305"/>
      <c r="S131" s="288"/>
      <c r="T131" s="326"/>
      <c r="U131" s="338"/>
    </row>
    <row r="132" spans="1:21" s="15" customFormat="1">
      <c r="A132" s="331" t="s">
        <v>3490</v>
      </c>
      <c r="B132" s="351" t="s">
        <v>2685</v>
      </c>
      <c r="C132" s="351" t="s">
        <v>2685</v>
      </c>
      <c r="D132" s="351" t="s">
        <v>2685</v>
      </c>
      <c r="E132" s="351" t="s">
        <v>2685</v>
      </c>
      <c r="F132" s="351" t="s">
        <v>2685</v>
      </c>
      <c r="G132" s="288"/>
      <c r="H132" s="288"/>
      <c r="I132" s="311"/>
      <c r="J132" s="288"/>
      <c r="K132" s="288"/>
      <c r="L132" s="288"/>
      <c r="M132" s="288"/>
      <c r="N132" s="288"/>
      <c r="O132" s="288"/>
      <c r="P132" s="288"/>
      <c r="Q132" s="288"/>
      <c r="R132" s="305"/>
      <c r="S132" s="288"/>
      <c r="T132" s="326"/>
      <c r="U132" s="338"/>
    </row>
    <row r="133" spans="1:21" s="15" customFormat="1">
      <c r="A133" s="331" t="s">
        <v>3491</v>
      </c>
      <c r="B133" s="351" t="s">
        <v>2686</v>
      </c>
      <c r="C133" s="351" t="s">
        <v>2686</v>
      </c>
      <c r="D133" s="351" t="s">
        <v>2686</v>
      </c>
      <c r="E133" s="351" t="s">
        <v>2686</v>
      </c>
      <c r="F133" s="351" t="s">
        <v>2686</v>
      </c>
      <c r="G133" s="288"/>
      <c r="H133" s="288"/>
      <c r="I133" s="311"/>
      <c r="J133" s="288"/>
      <c r="K133" s="288"/>
      <c r="L133" s="288"/>
      <c r="M133" s="288"/>
      <c r="N133" s="288"/>
      <c r="O133" s="288"/>
      <c r="P133" s="288"/>
      <c r="Q133" s="288"/>
      <c r="R133" s="305"/>
      <c r="S133" s="288"/>
      <c r="T133" s="326"/>
      <c r="U133" s="338"/>
    </row>
    <row r="134" spans="1:21" s="15" customFormat="1" ht="90">
      <c r="A134" s="333" t="s">
        <v>3492</v>
      </c>
      <c r="B134" s="87" t="s">
        <v>1810</v>
      </c>
      <c r="C134" s="87" t="s">
        <v>2687</v>
      </c>
      <c r="D134" s="290" t="s">
        <v>2688</v>
      </c>
      <c r="E134" s="87" t="s">
        <v>48</v>
      </c>
      <c r="F134" s="284">
        <v>38</v>
      </c>
      <c r="G134" s="291">
        <v>2192.8200000000002</v>
      </c>
      <c r="H134" s="291">
        <f>ROUND((G134*F134),2)</f>
        <v>83327.16</v>
      </c>
      <c r="I134" s="309">
        <f t="shared" si="15"/>
        <v>2.0359305400169769E-3</v>
      </c>
      <c r="J134" s="291"/>
      <c r="K134" s="291"/>
      <c r="L134" s="291"/>
      <c r="M134" s="291"/>
      <c r="N134" s="291"/>
      <c r="O134" s="291"/>
      <c r="P134" s="291"/>
      <c r="Q134" s="291"/>
      <c r="R134" s="306">
        <v>0</v>
      </c>
      <c r="S134" s="291">
        <f t="shared" ref="S134:S135" si="34">R134*G134</f>
        <v>0</v>
      </c>
      <c r="T134" s="327">
        <f t="shared" si="17"/>
        <v>38</v>
      </c>
      <c r="U134" s="334">
        <f t="shared" si="18"/>
        <v>83327.16</v>
      </c>
    </row>
    <row r="135" spans="1:21" s="15" customFormat="1" ht="103.5" customHeight="1">
      <c r="A135" s="333" t="s">
        <v>3493</v>
      </c>
      <c r="B135" s="87" t="s">
        <v>1810</v>
      </c>
      <c r="C135" s="87" t="s">
        <v>2689</v>
      </c>
      <c r="D135" s="290" t="s">
        <v>2690</v>
      </c>
      <c r="E135" s="87" t="s">
        <v>48</v>
      </c>
      <c r="F135" s="284">
        <v>19</v>
      </c>
      <c r="G135" s="291">
        <v>3648.11</v>
      </c>
      <c r="H135" s="291">
        <f>ROUND((G135*F135),2)</f>
        <v>69314.09</v>
      </c>
      <c r="I135" s="309">
        <f t="shared" si="15"/>
        <v>1.6935495303630334E-3</v>
      </c>
      <c r="J135" s="291"/>
      <c r="K135" s="291"/>
      <c r="L135" s="291"/>
      <c r="M135" s="291"/>
      <c r="N135" s="291"/>
      <c r="O135" s="291"/>
      <c r="P135" s="291"/>
      <c r="Q135" s="291"/>
      <c r="R135" s="306">
        <v>0</v>
      </c>
      <c r="S135" s="291">
        <f t="shared" si="34"/>
        <v>0</v>
      </c>
      <c r="T135" s="327">
        <f t="shared" si="17"/>
        <v>19</v>
      </c>
      <c r="U135" s="334">
        <f t="shared" si="18"/>
        <v>69314.09</v>
      </c>
    </row>
    <row r="136" spans="1:21" s="15" customFormat="1">
      <c r="A136" s="336"/>
      <c r="B136" s="293"/>
      <c r="C136" s="293"/>
      <c r="D136" s="294" t="s">
        <v>2593</v>
      </c>
      <c r="E136" s="293"/>
      <c r="F136" s="316"/>
      <c r="G136" s="295">
        <v>0</v>
      </c>
      <c r="H136" s="296">
        <f>SUM(H134:H135)</f>
        <v>152641.25</v>
      </c>
      <c r="I136" s="310">
        <f t="shared" si="15"/>
        <v>3.7294800703800103E-3</v>
      </c>
      <c r="J136" s="296"/>
      <c r="K136" s="296"/>
      <c r="L136" s="296"/>
      <c r="M136" s="296"/>
      <c r="N136" s="296"/>
      <c r="O136" s="296"/>
      <c r="P136" s="296"/>
      <c r="Q136" s="296"/>
      <c r="R136" s="307"/>
      <c r="S136" s="296">
        <f>SUM(S134:S135)</f>
        <v>0</v>
      </c>
      <c r="T136" s="329"/>
      <c r="U136" s="337">
        <f t="shared" ref="U136" si="35">SUM(U134:U135)</f>
        <v>152641.25</v>
      </c>
    </row>
    <row r="137" spans="1:21" s="15" customFormat="1">
      <c r="A137" s="331">
        <v>7</v>
      </c>
      <c r="B137" s="351" t="s">
        <v>293</v>
      </c>
      <c r="C137" s="351" t="s">
        <v>293</v>
      </c>
      <c r="D137" s="351" t="s">
        <v>293</v>
      </c>
      <c r="E137" s="351" t="s">
        <v>293</v>
      </c>
      <c r="F137" s="351" t="s">
        <v>293</v>
      </c>
      <c r="G137" s="288"/>
      <c r="H137" s="288"/>
      <c r="I137" s="311"/>
      <c r="J137" s="288"/>
      <c r="K137" s="288"/>
      <c r="L137" s="288"/>
      <c r="M137" s="288"/>
      <c r="N137" s="288"/>
      <c r="O137" s="288"/>
      <c r="P137" s="288"/>
      <c r="Q137" s="288"/>
      <c r="R137" s="305"/>
      <c r="S137" s="288"/>
      <c r="T137" s="326"/>
      <c r="U137" s="338"/>
    </row>
    <row r="138" spans="1:21" s="15" customFormat="1">
      <c r="A138" s="331" t="s">
        <v>3494</v>
      </c>
      <c r="B138" s="351" t="s">
        <v>295</v>
      </c>
      <c r="C138" s="351" t="s">
        <v>295</v>
      </c>
      <c r="D138" s="351" t="s">
        <v>295</v>
      </c>
      <c r="E138" s="351" t="s">
        <v>295</v>
      </c>
      <c r="F138" s="351" t="s">
        <v>295</v>
      </c>
      <c r="G138" s="288"/>
      <c r="H138" s="288"/>
      <c r="I138" s="311"/>
      <c r="J138" s="288"/>
      <c r="K138" s="288"/>
      <c r="L138" s="288"/>
      <c r="M138" s="288"/>
      <c r="N138" s="288"/>
      <c r="O138" s="288"/>
      <c r="P138" s="288"/>
      <c r="Q138" s="288"/>
      <c r="R138" s="305"/>
      <c r="S138" s="288"/>
      <c r="T138" s="326"/>
      <c r="U138" s="338"/>
    </row>
    <row r="139" spans="1:21" s="15" customFormat="1" ht="30">
      <c r="A139" s="333" t="s">
        <v>3495</v>
      </c>
      <c r="B139" s="87" t="s">
        <v>1810</v>
      </c>
      <c r="C139" s="87" t="s">
        <v>2691</v>
      </c>
      <c r="D139" s="290" t="s">
        <v>1846</v>
      </c>
      <c r="E139" s="87" t="s">
        <v>2598</v>
      </c>
      <c r="F139" s="284">
        <v>60.18</v>
      </c>
      <c r="G139" s="291">
        <v>906.13</v>
      </c>
      <c r="H139" s="291">
        <f>ROUND((G139*F139),2)</f>
        <v>54530.9</v>
      </c>
      <c r="I139" s="309">
        <f t="shared" si="15"/>
        <v>1.332352196866085E-3</v>
      </c>
      <c r="J139" s="291"/>
      <c r="K139" s="291"/>
      <c r="L139" s="291"/>
      <c r="M139" s="291"/>
      <c r="N139" s="291"/>
      <c r="O139" s="291"/>
      <c r="P139" s="291"/>
      <c r="Q139" s="291"/>
      <c r="R139" s="306">
        <v>0</v>
      </c>
      <c r="S139" s="291">
        <f t="shared" ref="S139:S141" si="36">R139*J139</f>
        <v>0</v>
      </c>
      <c r="T139" s="327">
        <f t="shared" si="17"/>
        <v>60.18</v>
      </c>
      <c r="U139" s="334">
        <f t="shared" si="18"/>
        <v>54530.903400000003</v>
      </c>
    </row>
    <row r="140" spans="1:21" s="15" customFormat="1" ht="60">
      <c r="A140" s="333" t="s">
        <v>2692</v>
      </c>
      <c r="B140" s="87" t="s">
        <v>2692</v>
      </c>
      <c r="C140" s="87" t="s">
        <v>2693</v>
      </c>
      <c r="D140" s="290" t="s">
        <v>2694</v>
      </c>
      <c r="E140" s="87" t="s">
        <v>243</v>
      </c>
      <c r="F140" s="284">
        <v>483.66</v>
      </c>
      <c r="G140" s="291">
        <v>1190.81</v>
      </c>
      <c r="H140" s="291">
        <f>ROUND((G140*F140),2)</f>
        <v>575947.16</v>
      </c>
      <c r="I140" s="309">
        <f t="shared" ref="I140:I202" si="37">H140/$H$741</f>
        <v>1.4072103411181232E-2</v>
      </c>
      <c r="J140" s="291"/>
      <c r="K140" s="291"/>
      <c r="L140" s="291"/>
      <c r="M140" s="291"/>
      <c r="N140" s="291"/>
      <c r="O140" s="291"/>
      <c r="P140" s="291"/>
      <c r="Q140" s="291"/>
      <c r="R140" s="306">
        <v>0</v>
      </c>
      <c r="S140" s="291">
        <f t="shared" si="36"/>
        <v>0</v>
      </c>
      <c r="T140" s="327">
        <f t="shared" ref="T140:T201" si="38">F140-R140</f>
        <v>483.66</v>
      </c>
      <c r="U140" s="334">
        <f t="shared" ref="U140:U201" si="39">T140*G140</f>
        <v>575947.16460000002</v>
      </c>
    </row>
    <row r="141" spans="1:21" s="15" customFormat="1">
      <c r="A141" s="333" t="s">
        <v>3496</v>
      </c>
      <c r="B141" s="87" t="s">
        <v>1810</v>
      </c>
      <c r="C141" s="87" t="s">
        <v>1848</v>
      </c>
      <c r="D141" s="290" t="s">
        <v>1849</v>
      </c>
      <c r="E141" s="87" t="s">
        <v>2598</v>
      </c>
      <c r="F141" s="284">
        <v>0.62</v>
      </c>
      <c r="G141" s="291">
        <v>467.71</v>
      </c>
      <c r="H141" s="291">
        <f>ROUND((G141*F141),2)</f>
        <v>289.98</v>
      </c>
      <c r="I141" s="309">
        <f t="shared" si="37"/>
        <v>7.0850745182497886E-6</v>
      </c>
      <c r="J141" s="291"/>
      <c r="K141" s="291"/>
      <c r="L141" s="291"/>
      <c r="M141" s="291"/>
      <c r="N141" s="291"/>
      <c r="O141" s="291"/>
      <c r="P141" s="291"/>
      <c r="Q141" s="291"/>
      <c r="R141" s="306">
        <v>0</v>
      </c>
      <c r="S141" s="291">
        <f t="shared" si="36"/>
        <v>0</v>
      </c>
      <c r="T141" s="327">
        <f t="shared" si="38"/>
        <v>0.62</v>
      </c>
      <c r="U141" s="334">
        <f t="shared" si="39"/>
        <v>289.98019999999997</v>
      </c>
    </row>
    <row r="142" spans="1:21" s="15" customFormat="1">
      <c r="A142" s="336"/>
      <c r="B142" s="293"/>
      <c r="C142" s="293"/>
      <c r="D142" s="294" t="s">
        <v>2593</v>
      </c>
      <c r="E142" s="293"/>
      <c r="F142" s="316"/>
      <c r="G142" s="295">
        <v>0</v>
      </c>
      <c r="H142" s="296">
        <f>SUM(H139:H141)</f>
        <v>630768.04</v>
      </c>
      <c r="I142" s="310">
        <f t="shared" si="37"/>
        <v>1.5411540682565566E-2</v>
      </c>
      <c r="J142" s="296"/>
      <c r="K142" s="296"/>
      <c r="L142" s="296"/>
      <c r="M142" s="296"/>
      <c r="N142" s="296"/>
      <c r="O142" s="296"/>
      <c r="P142" s="296"/>
      <c r="Q142" s="296"/>
      <c r="R142" s="307"/>
      <c r="S142" s="296">
        <f>SUM(S139:S141)</f>
        <v>0</v>
      </c>
      <c r="T142" s="329"/>
      <c r="U142" s="337">
        <f>SUM(U139:U141)</f>
        <v>630768.04819999996</v>
      </c>
    </row>
    <row r="143" spans="1:21" s="15" customFormat="1">
      <c r="A143" s="331" t="s">
        <v>3497</v>
      </c>
      <c r="B143" s="351" t="s">
        <v>300</v>
      </c>
      <c r="C143" s="351" t="s">
        <v>300</v>
      </c>
      <c r="D143" s="351" t="s">
        <v>300</v>
      </c>
      <c r="E143" s="351" t="s">
        <v>300</v>
      </c>
      <c r="F143" s="351" t="s">
        <v>300</v>
      </c>
      <c r="G143" s="288"/>
      <c r="H143" s="288"/>
      <c r="I143" s="311"/>
      <c r="J143" s="288"/>
      <c r="K143" s="288"/>
      <c r="L143" s="288"/>
      <c r="M143" s="288"/>
      <c r="N143" s="288"/>
      <c r="O143" s="288"/>
      <c r="P143" s="288"/>
      <c r="Q143" s="288"/>
      <c r="R143" s="305"/>
      <c r="S143" s="288"/>
      <c r="T143" s="326"/>
      <c r="U143" s="338"/>
    </row>
    <row r="144" spans="1:21" s="15" customFormat="1" ht="45">
      <c r="A144" s="333" t="s">
        <v>3498</v>
      </c>
      <c r="B144" s="87" t="s">
        <v>1810</v>
      </c>
      <c r="C144" s="87" t="s">
        <v>2695</v>
      </c>
      <c r="D144" s="290" t="s">
        <v>303</v>
      </c>
      <c r="E144" s="87" t="s">
        <v>2598</v>
      </c>
      <c r="F144" s="284">
        <v>192.99</v>
      </c>
      <c r="G144" s="291">
        <v>681.3</v>
      </c>
      <c r="H144" s="291">
        <f t="shared" ref="H144:H150" si="40">ROUND((G144*F144),2)</f>
        <v>131484.09</v>
      </c>
      <c r="I144" s="309">
        <f t="shared" si="37"/>
        <v>3.2125476778200623E-3</v>
      </c>
      <c r="J144" s="291"/>
      <c r="K144" s="291"/>
      <c r="L144" s="291"/>
      <c r="M144" s="291"/>
      <c r="N144" s="291"/>
      <c r="O144" s="291"/>
      <c r="P144" s="291"/>
      <c r="Q144" s="291"/>
      <c r="R144" s="306">
        <v>0</v>
      </c>
      <c r="S144" s="291">
        <f t="shared" ref="S144:S150" si="41">R144*J144</f>
        <v>0</v>
      </c>
      <c r="T144" s="327">
        <f t="shared" si="38"/>
        <v>192.99</v>
      </c>
      <c r="U144" s="334">
        <f t="shared" si="39"/>
        <v>131484.087</v>
      </c>
    </row>
    <row r="145" spans="1:21" s="15" customFormat="1" ht="60.75" customHeight="1">
      <c r="A145" s="333" t="s">
        <v>3499</v>
      </c>
      <c r="B145" s="87" t="s">
        <v>1810</v>
      </c>
      <c r="C145" s="87" t="s">
        <v>2696</v>
      </c>
      <c r="D145" s="290" t="s">
        <v>2697</v>
      </c>
      <c r="E145" s="87" t="s">
        <v>2598</v>
      </c>
      <c r="F145" s="284">
        <v>75.44</v>
      </c>
      <c r="G145" s="291">
        <v>644.67999999999995</v>
      </c>
      <c r="H145" s="291">
        <f t="shared" si="40"/>
        <v>48634.66</v>
      </c>
      <c r="I145" s="309">
        <f t="shared" si="37"/>
        <v>1.1882895036545358E-3</v>
      </c>
      <c r="J145" s="291"/>
      <c r="K145" s="291"/>
      <c r="L145" s="291"/>
      <c r="M145" s="291"/>
      <c r="N145" s="291"/>
      <c r="O145" s="291"/>
      <c r="P145" s="291"/>
      <c r="Q145" s="291"/>
      <c r="R145" s="306">
        <v>0</v>
      </c>
      <c r="S145" s="291">
        <f t="shared" si="41"/>
        <v>0</v>
      </c>
      <c r="T145" s="327">
        <f t="shared" si="38"/>
        <v>75.44</v>
      </c>
      <c r="U145" s="334">
        <f t="shared" si="39"/>
        <v>48634.659199999995</v>
      </c>
    </row>
    <row r="146" spans="1:21" s="15" customFormat="1" ht="45">
      <c r="A146" s="333" t="s">
        <v>3500</v>
      </c>
      <c r="B146" s="87" t="s">
        <v>1810</v>
      </c>
      <c r="C146" s="87" t="s">
        <v>2698</v>
      </c>
      <c r="D146" s="290" t="s">
        <v>309</v>
      </c>
      <c r="E146" s="87" t="s">
        <v>2598</v>
      </c>
      <c r="F146" s="284">
        <v>54.57</v>
      </c>
      <c r="G146" s="291">
        <v>1079.42</v>
      </c>
      <c r="H146" s="291">
        <f t="shared" si="40"/>
        <v>58903.95</v>
      </c>
      <c r="I146" s="309">
        <f t="shared" si="37"/>
        <v>1.4391988246405254E-3</v>
      </c>
      <c r="J146" s="291"/>
      <c r="K146" s="291"/>
      <c r="L146" s="291"/>
      <c r="M146" s="291"/>
      <c r="N146" s="291"/>
      <c r="O146" s="291"/>
      <c r="P146" s="291"/>
      <c r="Q146" s="291"/>
      <c r="R146" s="306">
        <v>0</v>
      </c>
      <c r="S146" s="291">
        <f t="shared" si="41"/>
        <v>0</v>
      </c>
      <c r="T146" s="327">
        <f t="shared" si="38"/>
        <v>54.57</v>
      </c>
      <c r="U146" s="334">
        <f t="shared" si="39"/>
        <v>58903.949400000005</v>
      </c>
    </row>
    <row r="147" spans="1:21" s="15" customFormat="1" ht="30">
      <c r="A147" s="333" t="s">
        <v>3501</v>
      </c>
      <c r="B147" s="87" t="s">
        <v>1810</v>
      </c>
      <c r="C147" s="87" t="s">
        <v>2699</v>
      </c>
      <c r="D147" s="290" t="s">
        <v>2700</v>
      </c>
      <c r="E147" s="87" t="s">
        <v>107</v>
      </c>
      <c r="F147" s="284">
        <v>28.12</v>
      </c>
      <c r="G147" s="291">
        <v>396.23</v>
      </c>
      <c r="H147" s="291">
        <f t="shared" si="40"/>
        <v>11141.99</v>
      </c>
      <c r="I147" s="309">
        <f t="shared" si="37"/>
        <v>2.722319795558106E-4</v>
      </c>
      <c r="J147" s="291"/>
      <c r="K147" s="291"/>
      <c r="L147" s="291"/>
      <c r="M147" s="291"/>
      <c r="N147" s="291"/>
      <c r="O147" s="291"/>
      <c r="P147" s="291"/>
      <c r="Q147" s="291"/>
      <c r="R147" s="306">
        <v>0</v>
      </c>
      <c r="S147" s="291">
        <f t="shared" si="41"/>
        <v>0</v>
      </c>
      <c r="T147" s="327">
        <f t="shared" si="38"/>
        <v>28.12</v>
      </c>
      <c r="U147" s="334">
        <f t="shared" si="39"/>
        <v>11141.9876</v>
      </c>
    </row>
    <row r="148" spans="1:21" s="15" customFormat="1" ht="90">
      <c r="A148" s="333" t="s">
        <v>3502</v>
      </c>
      <c r="B148" s="87" t="s">
        <v>133</v>
      </c>
      <c r="C148" s="87">
        <v>94569</v>
      </c>
      <c r="D148" s="290" t="s">
        <v>2701</v>
      </c>
      <c r="E148" s="87" t="s">
        <v>25</v>
      </c>
      <c r="F148" s="284">
        <v>3</v>
      </c>
      <c r="G148" s="291">
        <v>700.96</v>
      </c>
      <c r="H148" s="291">
        <f t="shared" si="40"/>
        <v>2102.88</v>
      </c>
      <c r="I148" s="309">
        <f t="shared" si="37"/>
        <v>5.1379617569960391E-5</v>
      </c>
      <c r="J148" s="291"/>
      <c r="K148" s="291"/>
      <c r="L148" s="291"/>
      <c r="M148" s="291"/>
      <c r="N148" s="291"/>
      <c r="O148" s="291"/>
      <c r="P148" s="291"/>
      <c r="Q148" s="291"/>
      <c r="R148" s="306">
        <v>0</v>
      </c>
      <c r="S148" s="291">
        <f t="shared" si="41"/>
        <v>0</v>
      </c>
      <c r="T148" s="327">
        <f t="shared" si="38"/>
        <v>3</v>
      </c>
      <c r="U148" s="334">
        <f t="shared" si="39"/>
        <v>2102.88</v>
      </c>
    </row>
    <row r="149" spans="1:21" s="15" customFormat="1" ht="105">
      <c r="A149" s="333" t="s">
        <v>3503</v>
      </c>
      <c r="B149" s="87" t="s">
        <v>133</v>
      </c>
      <c r="C149" s="87">
        <v>94572</v>
      </c>
      <c r="D149" s="290" t="s">
        <v>2702</v>
      </c>
      <c r="E149" s="87" t="s">
        <v>2598</v>
      </c>
      <c r="F149" s="284">
        <v>2.17</v>
      </c>
      <c r="G149" s="291">
        <v>526.03</v>
      </c>
      <c r="H149" s="291">
        <f t="shared" si="40"/>
        <v>1141.49</v>
      </c>
      <c r="I149" s="309">
        <f t="shared" si="37"/>
        <v>2.788999831656304E-5</v>
      </c>
      <c r="J149" s="291"/>
      <c r="K149" s="291"/>
      <c r="L149" s="291"/>
      <c r="M149" s="291"/>
      <c r="N149" s="291"/>
      <c r="O149" s="291"/>
      <c r="P149" s="291"/>
      <c r="Q149" s="291"/>
      <c r="R149" s="306">
        <v>0</v>
      </c>
      <c r="S149" s="291">
        <f t="shared" si="41"/>
        <v>0</v>
      </c>
      <c r="T149" s="327">
        <f t="shared" si="38"/>
        <v>2.17</v>
      </c>
      <c r="U149" s="334">
        <f t="shared" si="39"/>
        <v>1141.4850999999999</v>
      </c>
    </row>
    <row r="150" spans="1:21" s="15" customFormat="1">
      <c r="A150" s="333" t="s">
        <v>3504</v>
      </c>
      <c r="B150" s="87" t="s">
        <v>1810</v>
      </c>
      <c r="C150" s="87" t="s">
        <v>1848</v>
      </c>
      <c r="D150" s="290" t="s">
        <v>1849</v>
      </c>
      <c r="E150" s="87" t="s">
        <v>2598</v>
      </c>
      <c r="F150" s="284">
        <v>5.54</v>
      </c>
      <c r="G150" s="291">
        <v>488.25</v>
      </c>
      <c r="H150" s="291">
        <f t="shared" si="40"/>
        <v>2704.91</v>
      </c>
      <c r="I150" s="309">
        <f t="shared" si="37"/>
        <v>6.6089002397265434E-5</v>
      </c>
      <c r="J150" s="291"/>
      <c r="K150" s="291"/>
      <c r="L150" s="291"/>
      <c r="M150" s="291"/>
      <c r="N150" s="291"/>
      <c r="O150" s="291"/>
      <c r="P150" s="291"/>
      <c r="Q150" s="291"/>
      <c r="R150" s="306">
        <v>0</v>
      </c>
      <c r="S150" s="291">
        <f t="shared" si="41"/>
        <v>0</v>
      </c>
      <c r="T150" s="327">
        <f t="shared" si="38"/>
        <v>5.54</v>
      </c>
      <c r="U150" s="334">
        <f t="shared" si="39"/>
        <v>2704.9050000000002</v>
      </c>
    </row>
    <row r="151" spans="1:21" s="15" customFormat="1">
      <c r="A151" s="336"/>
      <c r="B151" s="293"/>
      <c r="C151" s="293"/>
      <c r="D151" s="294" t="s">
        <v>2593</v>
      </c>
      <c r="E151" s="293"/>
      <c r="F151" s="316"/>
      <c r="G151" s="295">
        <v>0</v>
      </c>
      <c r="H151" s="296">
        <f>SUM(H144:H150)</f>
        <v>256113.97</v>
      </c>
      <c r="I151" s="310">
        <f t="shared" si="37"/>
        <v>6.2576266039547227E-3</v>
      </c>
      <c r="J151" s="296"/>
      <c r="K151" s="296"/>
      <c r="L151" s="296"/>
      <c r="M151" s="296"/>
      <c r="N151" s="296"/>
      <c r="O151" s="296"/>
      <c r="P151" s="296"/>
      <c r="Q151" s="296"/>
      <c r="R151" s="307"/>
      <c r="S151" s="296">
        <f>SUM(S144:S150)</f>
        <v>0</v>
      </c>
      <c r="T151" s="329"/>
      <c r="U151" s="337">
        <f t="shared" ref="U151" si="42">SUM(U144:U150)</f>
        <v>256113.95329999999</v>
      </c>
    </row>
    <row r="152" spans="1:21" s="15" customFormat="1">
      <c r="A152" s="331" t="s">
        <v>3505</v>
      </c>
      <c r="B152" s="351" t="s">
        <v>317</v>
      </c>
      <c r="C152" s="351" t="s">
        <v>317</v>
      </c>
      <c r="D152" s="351" t="s">
        <v>317</v>
      </c>
      <c r="E152" s="351" t="s">
        <v>317</v>
      </c>
      <c r="F152" s="351" t="s">
        <v>317</v>
      </c>
      <c r="G152" s="288">
        <v>0</v>
      </c>
      <c r="H152" s="288"/>
      <c r="I152" s="311"/>
      <c r="J152" s="288"/>
      <c r="K152" s="288"/>
      <c r="L152" s="288"/>
      <c r="M152" s="288"/>
      <c r="N152" s="288"/>
      <c r="O152" s="288"/>
      <c r="P152" s="288"/>
      <c r="Q152" s="288"/>
      <c r="R152" s="305"/>
      <c r="S152" s="288"/>
      <c r="T152" s="326"/>
      <c r="U152" s="338"/>
    </row>
    <row r="153" spans="1:21" s="15" customFormat="1">
      <c r="A153" s="331">
        <v>8</v>
      </c>
      <c r="B153" s="351" t="s">
        <v>322</v>
      </c>
      <c r="C153" s="351" t="s">
        <v>322</v>
      </c>
      <c r="D153" s="351" t="s">
        <v>322</v>
      </c>
      <c r="E153" s="351" t="s">
        <v>322</v>
      </c>
      <c r="F153" s="351" t="s">
        <v>322</v>
      </c>
      <c r="G153" s="288">
        <v>0</v>
      </c>
      <c r="H153" s="288"/>
      <c r="I153" s="311"/>
      <c r="J153" s="288"/>
      <c r="K153" s="288"/>
      <c r="L153" s="288"/>
      <c r="M153" s="288"/>
      <c r="N153" s="288"/>
      <c r="O153" s="288"/>
      <c r="P153" s="288"/>
      <c r="Q153" s="288"/>
      <c r="R153" s="305"/>
      <c r="S153" s="288"/>
      <c r="T153" s="326"/>
      <c r="U153" s="338"/>
    </row>
    <row r="154" spans="1:21" s="15" customFormat="1">
      <c r="A154" s="331" t="s">
        <v>3506</v>
      </c>
      <c r="B154" s="351" t="s">
        <v>324</v>
      </c>
      <c r="C154" s="351" t="s">
        <v>324</v>
      </c>
      <c r="D154" s="351" t="s">
        <v>324</v>
      </c>
      <c r="E154" s="351" t="s">
        <v>324</v>
      </c>
      <c r="F154" s="351" t="s">
        <v>324</v>
      </c>
      <c r="G154" s="288">
        <v>0</v>
      </c>
      <c r="H154" s="288"/>
      <c r="I154" s="311"/>
      <c r="J154" s="288"/>
      <c r="K154" s="288"/>
      <c r="L154" s="288"/>
      <c r="M154" s="288"/>
      <c r="N154" s="288"/>
      <c r="O154" s="288"/>
      <c r="P154" s="288"/>
      <c r="Q154" s="288"/>
      <c r="R154" s="305"/>
      <c r="S154" s="288"/>
      <c r="T154" s="326"/>
      <c r="U154" s="338"/>
    </row>
    <row r="155" spans="1:21" s="15" customFormat="1">
      <c r="A155" s="333" t="s">
        <v>3507</v>
      </c>
      <c r="B155" s="87" t="s">
        <v>1810</v>
      </c>
      <c r="C155" s="87" t="s">
        <v>2703</v>
      </c>
      <c r="D155" s="290" t="s">
        <v>327</v>
      </c>
      <c r="E155" s="87" t="s">
        <v>2598</v>
      </c>
      <c r="F155" s="284">
        <v>293.04000000000002</v>
      </c>
      <c r="G155" s="291">
        <v>471.11</v>
      </c>
      <c r="H155" s="291">
        <f>ROUND((G155*F155),2)</f>
        <v>138054.07</v>
      </c>
      <c r="I155" s="309">
        <f t="shared" si="37"/>
        <v>3.3730718446019466E-3</v>
      </c>
      <c r="J155" s="291"/>
      <c r="K155" s="291"/>
      <c r="L155" s="291"/>
      <c r="M155" s="291"/>
      <c r="N155" s="291"/>
      <c r="O155" s="291"/>
      <c r="P155" s="291"/>
      <c r="Q155" s="291"/>
      <c r="R155" s="306">
        <v>0</v>
      </c>
      <c r="S155" s="291">
        <f t="shared" ref="S155" si="43">R155*J155</f>
        <v>0</v>
      </c>
      <c r="T155" s="327">
        <f t="shared" si="38"/>
        <v>293.04000000000002</v>
      </c>
      <c r="U155" s="334">
        <f t="shared" si="39"/>
        <v>138054.07440000001</v>
      </c>
    </row>
    <row r="156" spans="1:21" s="15" customFormat="1">
      <c r="A156" s="336"/>
      <c r="B156" s="293"/>
      <c r="C156" s="293"/>
      <c r="D156" s="294" t="s">
        <v>2593</v>
      </c>
      <c r="E156" s="293"/>
      <c r="F156" s="316"/>
      <c r="G156" s="295">
        <v>0</v>
      </c>
      <c r="H156" s="296">
        <f>SUM(H155)</f>
        <v>138054.07</v>
      </c>
      <c r="I156" s="310">
        <f t="shared" si="37"/>
        <v>3.3730718446019466E-3</v>
      </c>
      <c r="J156" s="296"/>
      <c r="K156" s="296"/>
      <c r="L156" s="296"/>
      <c r="M156" s="296"/>
      <c r="N156" s="296"/>
      <c r="O156" s="296"/>
      <c r="P156" s="296"/>
      <c r="Q156" s="296"/>
      <c r="R156" s="307">
        <v>0</v>
      </c>
      <c r="S156" s="296">
        <f>SUM(S155)</f>
        <v>0</v>
      </c>
      <c r="T156" s="329"/>
      <c r="U156" s="337">
        <f t="shared" ref="U156" si="44">SUM(U155)</f>
        <v>138054.07440000001</v>
      </c>
    </row>
    <row r="157" spans="1:21" s="15" customFormat="1">
      <c r="A157" s="331" t="s">
        <v>3508</v>
      </c>
      <c r="B157" s="351" t="s">
        <v>332</v>
      </c>
      <c r="C157" s="351" t="s">
        <v>332</v>
      </c>
      <c r="D157" s="351" t="s">
        <v>332</v>
      </c>
      <c r="E157" s="351" t="s">
        <v>332</v>
      </c>
      <c r="F157" s="351" t="s">
        <v>332</v>
      </c>
      <c r="G157" s="288">
        <v>0</v>
      </c>
      <c r="H157" s="288"/>
      <c r="I157" s="311">
        <f t="shared" si="37"/>
        <v>0</v>
      </c>
      <c r="J157" s="288"/>
      <c r="K157" s="288"/>
      <c r="L157" s="288"/>
      <c r="M157" s="288"/>
      <c r="N157" s="288"/>
      <c r="O157" s="288"/>
      <c r="P157" s="288"/>
      <c r="Q157" s="288"/>
      <c r="R157" s="305"/>
      <c r="S157" s="288"/>
      <c r="T157" s="326"/>
      <c r="U157" s="338"/>
    </row>
    <row r="158" spans="1:21" s="15" customFormat="1" ht="45">
      <c r="A158" s="333" t="s">
        <v>3509</v>
      </c>
      <c r="B158" s="87" t="s">
        <v>1810</v>
      </c>
      <c r="C158" s="87" t="s">
        <v>2704</v>
      </c>
      <c r="D158" s="290" t="s">
        <v>335</v>
      </c>
      <c r="E158" s="87" t="s">
        <v>2598</v>
      </c>
      <c r="F158" s="284">
        <v>38.08</v>
      </c>
      <c r="G158" s="291">
        <v>853.71</v>
      </c>
      <c r="H158" s="291">
        <f>ROUND((G158*F158),2)</f>
        <v>32509.279999999999</v>
      </c>
      <c r="I158" s="309">
        <f t="shared" si="37"/>
        <v>7.9429847346247141E-4</v>
      </c>
      <c r="J158" s="291"/>
      <c r="K158" s="291"/>
      <c r="L158" s="291"/>
      <c r="M158" s="291"/>
      <c r="N158" s="291"/>
      <c r="O158" s="291"/>
      <c r="P158" s="291"/>
      <c r="Q158" s="291"/>
      <c r="R158" s="306">
        <v>0</v>
      </c>
      <c r="S158" s="291">
        <f t="shared" ref="S158" si="45">R158*J158</f>
        <v>0</v>
      </c>
      <c r="T158" s="327">
        <f t="shared" si="38"/>
        <v>38.08</v>
      </c>
      <c r="U158" s="334">
        <f t="shared" si="39"/>
        <v>32509.2768</v>
      </c>
    </row>
    <row r="159" spans="1:21" s="15" customFormat="1">
      <c r="A159" s="336"/>
      <c r="B159" s="293"/>
      <c r="C159" s="293"/>
      <c r="D159" s="294" t="s">
        <v>2593</v>
      </c>
      <c r="E159" s="293"/>
      <c r="F159" s="316"/>
      <c r="G159" s="295">
        <v>0</v>
      </c>
      <c r="H159" s="296">
        <f>SUM(H158)</f>
        <v>32509.279999999999</v>
      </c>
      <c r="I159" s="310">
        <f t="shared" si="37"/>
        <v>7.9429847346247141E-4</v>
      </c>
      <c r="J159" s="296"/>
      <c r="K159" s="296"/>
      <c r="L159" s="296"/>
      <c r="M159" s="296"/>
      <c r="N159" s="296"/>
      <c r="O159" s="296"/>
      <c r="P159" s="296"/>
      <c r="Q159" s="296"/>
      <c r="R159" s="307"/>
      <c r="S159" s="296">
        <f>SUM(S158)</f>
        <v>0</v>
      </c>
      <c r="T159" s="329"/>
      <c r="U159" s="337">
        <f t="shared" ref="U159" si="46">SUM(U158)</f>
        <v>32509.2768</v>
      </c>
    </row>
    <row r="160" spans="1:21" s="15" customFormat="1">
      <c r="A160" s="331">
        <v>9</v>
      </c>
      <c r="B160" s="351" t="s">
        <v>337</v>
      </c>
      <c r="C160" s="351" t="s">
        <v>337</v>
      </c>
      <c r="D160" s="351" t="s">
        <v>337</v>
      </c>
      <c r="E160" s="351" t="s">
        <v>337</v>
      </c>
      <c r="F160" s="351" t="s">
        <v>337</v>
      </c>
      <c r="G160" s="288"/>
      <c r="H160" s="288"/>
      <c r="I160" s="311"/>
      <c r="J160" s="288"/>
      <c r="K160" s="288"/>
      <c r="L160" s="288"/>
      <c r="M160" s="288"/>
      <c r="N160" s="288"/>
      <c r="O160" s="288"/>
      <c r="P160" s="288"/>
      <c r="Q160" s="288"/>
      <c r="R160" s="305"/>
      <c r="S160" s="288"/>
      <c r="T160" s="326"/>
      <c r="U160" s="338"/>
    </row>
    <row r="161" spans="1:21" s="15" customFormat="1">
      <c r="A161" s="331" t="s">
        <v>3510</v>
      </c>
      <c r="B161" s="351" t="s">
        <v>339</v>
      </c>
      <c r="C161" s="351" t="s">
        <v>339</v>
      </c>
      <c r="D161" s="351" t="s">
        <v>339</v>
      </c>
      <c r="E161" s="351" t="s">
        <v>339</v>
      </c>
      <c r="F161" s="351" t="s">
        <v>339</v>
      </c>
      <c r="G161" s="288"/>
      <c r="H161" s="288"/>
      <c r="I161" s="311"/>
      <c r="J161" s="288"/>
      <c r="K161" s="288"/>
      <c r="L161" s="288"/>
      <c r="M161" s="288"/>
      <c r="N161" s="288"/>
      <c r="O161" s="288"/>
      <c r="P161" s="288"/>
      <c r="Q161" s="288"/>
      <c r="R161" s="305"/>
      <c r="S161" s="288"/>
      <c r="T161" s="326"/>
      <c r="U161" s="338"/>
    </row>
    <row r="162" spans="1:21" ht="60">
      <c r="A162" s="333" t="s">
        <v>3511</v>
      </c>
      <c r="B162" s="87" t="s">
        <v>133</v>
      </c>
      <c r="C162" s="87" t="s">
        <v>2705</v>
      </c>
      <c r="D162" s="290" t="s">
        <v>2706</v>
      </c>
      <c r="E162" s="87" t="s">
        <v>25</v>
      </c>
      <c r="F162" s="284">
        <v>3613.87</v>
      </c>
      <c r="G162" s="291">
        <v>84.08</v>
      </c>
      <c r="H162" s="291">
        <f>ROUND((G162*F162),2)</f>
        <v>303854.19</v>
      </c>
      <c r="I162" s="309">
        <f t="shared" si="37"/>
        <v>7.4240622761308694E-3</v>
      </c>
      <c r="J162" s="291"/>
      <c r="K162" s="291"/>
      <c r="L162" s="291"/>
      <c r="M162" s="291"/>
      <c r="N162" s="291"/>
      <c r="O162" s="291"/>
      <c r="P162" s="291"/>
      <c r="Q162" s="291"/>
      <c r="R162" s="306">
        <v>0</v>
      </c>
      <c r="S162" s="291">
        <f t="shared" ref="S162:S163" si="47">R162*J162</f>
        <v>0</v>
      </c>
      <c r="T162" s="327">
        <f t="shared" si="38"/>
        <v>3613.87</v>
      </c>
      <c r="U162" s="334">
        <f t="shared" si="39"/>
        <v>303854.18959999998</v>
      </c>
    </row>
    <row r="163" spans="1:21" ht="75" customHeight="1">
      <c r="A163" s="333" t="s">
        <v>3512</v>
      </c>
      <c r="B163" s="87" t="s">
        <v>1810</v>
      </c>
      <c r="C163" s="87">
        <v>200738</v>
      </c>
      <c r="D163" s="290" t="s">
        <v>2707</v>
      </c>
      <c r="E163" s="87" t="s">
        <v>1741</v>
      </c>
      <c r="F163" s="284">
        <f>12.5*776.05</f>
        <v>9700.625</v>
      </c>
      <c r="G163" s="291">
        <v>45.51</v>
      </c>
      <c r="H163" s="291">
        <f>ROUND((G163*F163),2)</f>
        <v>441475.44</v>
      </c>
      <c r="I163" s="309">
        <f t="shared" si="37"/>
        <v>1.0786559039854862E-2</v>
      </c>
      <c r="J163" s="291"/>
      <c r="K163" s="291"/>
      <c r="L163" s="291"/>
      <c r="M163" s="291"/>
      <c r="N163" s="291"/>
      <c r="O163" s="291"/>
      <c r="P163" s="291"/>
      <c r="Q163" s="291"/>
      <c r="R163" s="306">
        <v>0</v>
      </c>
      <c r="S163" s="291">
        <f t="shared" si="47"/>
        <v>0</v>
      </c>
      <c r="T163" s="327">
        <f t="shared" si="38"/>
        <v>9700.625</v>
      </c>
      <c r="U163" s="334">
        <f t="shared" si="39"/>
        <v>441475.44374999998</v>
      </c>
    </row>
    <row r="164" spans="1:21">
      <c r="A164" s="336"/>
      <c r="B164" s="293"/>
      <c r="C164" s="293"/>
      <c r="D164" s="294" t="s">
        <v>2593</v>
      </c>
      <c r="E164" s="293"/>
      <c r="F164" s="316"/>
      <c r="G164" s="295">
        <v>0</v>
      </c>
      <c r="H164" s="296">
        <f>SUM(H162:H163)</f>
        <v>745329.63</v>
      </c>
      <c r="I164" s="310">
        <f t="shared" si="37"/>
        <v>1.821062131598573E-2</v>
      </c>
      <c r="J164" s="296"/>
      <c r="K164" s="296"/>
      <c r="L164" s="296"/>
      <c r="M164" s="296"/>
      <c r="N164" s="296"/>
      <c r="O164" s="296"/>
      <c r="P164" s="296"/>
      <c r="Q164" s="296"/>
      <c r="R164" s="307"/>
      <c r="S164" s="296">
        <f>SUM(S162:S163)</f>
        <v>0</v>
      </c>
      <c r="T164" s="329"/>
      <c r="U164" s="337">
        <f t="shared" ref="U164" si="48">SUM(U162:U163)</f>
        <v>745329.63335000002</v>
      </c>
    </row>
    <row r="165" spans="1:21">
      <c r="A165" s="331" t="s">
        <v>3513</v>
      </c>
      <c r="B165" s="351" t="s">
        <v>341</v>
      </c>
      <c r="C165" s="351" t="s">
        <v>341</v>
      </c>
      <c r="D165" s="351" t="s">
        <v>341</v>
      </c>
      <c r="E165" s="351" t="s">
        <v>341</v>
      </c>
      <c r="F165" s="351" t="s">
        <v>341</v>
      </c>
      <c r="G165" s="288"/>
      <c r="H165" s="288"/>
      <c r="I165" s="311"/>
      <c r="J165" s="288"/>
      <c r="K165" s="288"/>
      <c r="L165" s="288"/>
      <c r="M165" s="288"/>
      <c r="N165" s="288"/>
      <c r="O165" s="288"/>
      <c r="P165" s="288"/>
      <c r="Q165" s="288"/>
      <c r="R165" s="305"/>
      <c r="S165" s="288"/>
      <c r="T165" s="326"/>
      <c r="U165" s="338"/>
    </row>
    <row r="166" spans="1:21" ht="30">
      <c r="A166" s="333" t="s">
        <v>3514</v>
      </c>
      <c r="B166" s="87" t="s">
        <v>133</v>
      </c>
      <c r="C166" s="87" t="s">
        <v>2708</v>
      </c>
      <c r="D166" s="290" t="s">
        <v>2709</v>
      </c>
      <c r="E166" s="87" t="s">
        <v>25</v>
      </c>
      <c r="F166" s="284">
        <v>1066.03</v>
      </c>
      <c r="G166" s="291">
        <v>2116.29</v>
      </c>
      <c r="H166" s="291">
        <f>ROUND((G166*F166),2)</f>
        <v>2256028.63</v>
      </c>
      <c r="I166" s="309">
        <f t="shared" si="37"/>
        <v>5.5121494443944333E-2</v>
      </c>
      <c r="J166" s="291"/>
      <c r="K166" s="291"/>
      <c r="L166" s="291"/>
      <c r="M166" s="291"/>
      <c r="N166" s="291"/>
      <c r="O166" s="291"/>
      <c r="P166" s="291"/>
      <c r="Q166" s="291"/>
      <c r="R166" s="306">
        <v>0</v>
      </c>
      <c r="S166" s="291">
        <f t="shared" ref="S166:S168" si="49">R166*J166</f>
        <v>0</v>
      </c>
      <c r="T166" s="327">
        <f t="shared" si="38"/>
        <v>1066.03</v>
      </c>
      <c r="U166" s="334">
        <f t="shared" si="39"/>
        <v>2256028.6286999998</v>
      </c>
    </row>
    <row r="167" spans="1:21" ht="30">
      <c r="A167" s="333" t="s">
        <v>3515</v>
      </c>
      <c r="B167" s="87" t="s">
        <v>1810</v>
      </c>
      <c r="C167" s="87" t="s">
        <v>2710</v>
      </c>
      <c r="D167" s="290" t="s">
        <v>2711</v>
      </c>
      <c r="E167" s="87" t="s">
        <v>2598</v>
      </c>
      <c r="F167" s="284">
        <v>3014.0200000000004</v>
      </c>
      <c r="G167" s="291">
        <v>94.76</v>
      </c>
      <c r="H167" s="291">
        <f>ROUND((G167*F167),2)</f>
        <v>285608.53999999998</v>
      </c>
      <c r="I167" s="309">
        <f t="shared" si="37"/>
        <v>6.9782667389079421E-3</v>
      </c>
      <c r="J167" s="291"/>
      <c r="K167" s="291"/>
      <c r="L167" s="291"/>
      <c r="M167" s="291"/>
      <c r="N167" s="291"/>
      <c r="O167" s="291"/>
      <c r="P167" s="291"/>
      <c r="Q167" s="291"/>
      <c r="R167" s="306">
        <v>0</v>
      </c>
      <c r="S167" s="291">
        <f t="shared" si="49"/>
        <v>0</v>
      </c>
      <c r="T167" s="327">
        <f t="shared" si="38"/>
        <v>3014.0200000000004</v>
      </c>
      <c r="U167" s="334">
        <f t="shared" si="39"/>
        <v>285608.53520000004</v>
      </c>
    </row>
    <row r="168" spans="1:21" ht="45">
      <c r="A168" s="333" t="s">
        <v>3516</v>
      </c>
      <c r="B168" s="87" t="s">
        <v>133</v>
      </c>
      <c r="C168" s="87">
        <v>94216</v>
      </c>
      <c r="D168" s="290" t="s">
        <v>347</v>
      </c>
      <c r="E168" s="87" t="s">
        <v>2598</v>
      </c>
      <c r="F168" s="284">
        <v>701.44</v>
      </c>
      <c r="G168" s="291">
        <v>250.44</v>
      </c>
      <c r="H168" s="291">
        <f>ROUND((G168*F168),2)</f>
        <v>175668.63</v>
      </c>
      <c r="I168" s="309">
        <f t="shared" si="37"/>
        <v>4.2921075042032216E-3</v>
      </c>
      <c r="J168" s="291"/>
      <c r="K168" s="291"/>
      <c r="L168" s="291"/>
      <c r="M168" s="291"/>
      <c r="N168" s="291"/>
      <c r="O168" s="291"/>
      <c r="P168" s="291"/>
      <c r="Q168" s="291"/>
      <c r="R168" s="306">
        <v>0</v>
      </c>
      <c r="S168" s="291">
        <f t="shared" si="49"/>
        <v>0</v>
      </c>
      <c r="T168" s="327">
        <f t="shared" si="38"/>
        <v>701.44</v>
      </c>
      <c r="U168" s="334">
        <f t="shared" si="39"/>
        <v>175668.6336</v>
      </c>
    </row>
    <row r="169" spans="1:21">
      <c r="A169" s="336"/>
      <c r="B169" s="293"/>
      <c r="C169" s="293"/>
      <c r="D169" s="294" t="s">
        <v>2593</v>
      </c>
      <c r="E169" s="293"/>
      <c r="F169" s="316"/>
      <c r="G169" s="295">
        <v>0</v>
      </c>
      <c r="H169" s="296">
        <f>SUM(H166:H168)</f>
        <v>2717305.8</v>
      </c>
      <c r="I169" s="310">
        <f t="shared" si="37"/>
        <v>6.6391868687055502E-2</v>
      </c>
      <c r="J169" s="296"/>
      <c r="K169" s="296"/>
      <c r="L169" s="296"/>
      <c r="M169" s="296"/>
      <c r="N169" s="296"/>
      <c r="O169" s="296"/>
      <c r="P169" s="296"/>
      <c r="Q169" s="296"/>
      <c r="R169" s="307">
        <v>0</v>
      </c>
      <c r="S169" s="296">
        <f>SUM(S166:S168)</f>
        <v>0</v>
      </c>
      <c r="T169" s="329"/>
      <c r="U169" s="337">
        <f t="shared" ref="U169" si="50">SUM(U166:U168)</f>
        <v>2717305.7974999999</v>
      </c>
    </row>
    <row r="170" spans="1:21">
      <c r="A170" s="331" t="s">
        <v>3517</v>
      </c>
      <c r="B170" s="351" t="s">
        <v>349</v>
      </c>
      <c r="C170" s="351" t="s">
        <v>349</v>
      </c>
      <c r="D170" s="351" t="s">
        <v>349</v>
      </c>
      <c r="E170" s="351" t="s">
        <v>349</v>
      </c>
      <c r="F170" s="351" t="s">
        <v>349</v>
      </c>
      <c r="G170" s="288"/>
      <c r="H170" s="288"/>
      <c r="I170" s="311"/>
      <c r="J170" s="288"/>
      <c r="K170" s="288"/>
      <c r="L170" s="288"/>
      <c r="M170" s="288"/>
      <c r="N170" s="288"/>
      <c r="O170" s="288"/>
      <c r="P170" s="288"/>
      <c r="Q170" s="288"/>
      <c r="R170" s="305"/>
      <c r="S170" s="288"/>
      <c r="T170" s="326"/>
      <c r="U170" s="338"/>
    </row>
    <row r="171" spans="1:21">
      <c r="A171" s="333" t="s">
        <v>3518</v>
      </c>
      <c r="B171" s="87" t="s">
        <v>1810</v>
      </c>
      <c r="C171" s="315" t="s">
        <v>2712</v>
      </c>
      <c r="D171" s="290" t="s">
        <v>352</v>
      </c>
      <c r="E171" s="87" t="s">
        <v>107</v>
      </c>
      <c r="F171" s="284">
        <v>596.41</v>
      </c>
      <c r="G171" s="291">
        <v>270.29000000000002</v>
      </c>
      <c r="H171" s="291">
        <f>ROUND((G171*F171),2)</f>
        <v>161203.66</v>
      </c>
      <c r="I171" s="309">
        <f t="shared" si="37"/>
        <v>3.93868523248018E-3</v>
      </c>
      <c r="J171" s="291"/>
      <c r="K171" s="291"/>
      <c r="L171" s="291"/>
      <c r="M171" s="291"/>
      <c r="N171" s="291"/>
      <c r="O171" s="291"/>
      <c r="P171" s="291"/>
      <c r="Q171" s="291"/>
      <c r="R171" s="306">
        <v>0</v>
      </c>
      <c r="S171" s="291">
        <f t="shared" ref="S171:S172" si="51">R171*J171</f>
        <v>0</v>
      </c>
      <c r="T171" s="327">
        <f t="shared" si="38"/>
        <v>596.41</v>
      </c>
      <c r="U171" s="334">
        <f t="shared" si="39"/>
        <v>161203.65890000001</v>
      </c>
    </row>
    <row r="172" spans="1:21">
      <c r="A172" s="333" t="s">
        <v>3519</v>
      </c>
      <c r="B172" s="87" t="s">
        <v>1810</v>
      </c>
      <c r="C172" s="315" t="s">
        <v>2713</v>
      </c>
      <c r="D172" s="290" t="s">
        <v>2714</v>
      </c>
      <c r="E172" s="87" t="s">
        <v>107</v>
      </c>
      <c r="F172" s="284">
        <v>357.44</v>
      </c>
      <c r="G172" s="291">
        <v>48.2</v>
      </c>
      <c r="H172" s="291">
        <f>ROUND((G172*F172),2)</f>
        <v>17228.61</v>
      </c>
      <c r="I172" s="309">
        <f t="shared" si="37"/>
        <v>4.2094622282868986E-4</v>
      </c>
      <c r="J172" s="291"/>
      <c r="K172" s="291"/>
      <c r="L172" s="291"/>
      <c r="M172" s="291"/>
      <c r="N172" s="291"/>
      <c r="O172" s="291"/>
      <c r="P172" s="291"/>
      <c r="Q172" s="291"/>
      <c r="R172" s="306">
        <v>0</v>
      </c>
      <c r="S172" s="291">
        <f t="shared" si="51"/>
        <v>0</v>
      </c>
      <c r="T172" s="327">
        <f t="shared" si="38"/>
        <v>357.44</v>
      </c>
      <c r="U172" s="334">
        <f t="shared" si="39"/>
        <v>17228.608</v>
      </c>
    </row>
    <row r="173" spans="1:21">
      <c r="A173" s="336"/>
      <c r="B173" s="293"/>
      <c r="C173" s="293"/>
      <c r="D173" s="294" t="s">
        <v>2593</v>
      </c>
      <c r="E173" s="293"/>
      <c r="F173" s="316"/>
      <c r="G173" s="295">
        <v>0</v>
      </c>
      <c r="H173" s="296">
        <f>SUM(H171:H172)</f>
        <v>178432.27000000002</v>
      </c>
      <c r="I173" s="310">
        <f t="shared" si="37"/>
        <v>4.3596314553088706E-3</v>
      </c>
      <c r="J173" s="296"/>
      <c r="K173" s="296"/>
      <c r="L173" s="296"/>
      <c r="M173" s="296"/>
      <c r="N173" s="296"/>
      <c r="O173" s="296"/>
      <c r="P173" s="296"/>
      <c r="Q173" s="296"/>
      <c r="R173" s="306">
        <v>0</v>
      </c>
      <c r="S173" s="296">
        <f t="shared" ref="S173:U173" si="52">SUM(S171:S172)</f>
        <v>0</v>
      </c>
      <c r="T173" s="329"/>
      <c r="U173" s="337">
        <f t="shared" si="52"/>
        <v>178432.26690000002</v>
      </c>
    </row>
    <row r="174" spans="1:21">
      <c r="A174" s="331" t="s">
        <v>3520</v>
      </c>
      <c r="B174" s="351" t="s">
        <v>354</v>
      </c>
      <c r="C174" s="351" t="s">
        <v>354</v>
      </c>
      <c r="D174" s="351" t="s">
        <v>354</v>
      </c>
      <c r="E174" s="351" t="s">
        <v>354</v>
      </c>
      <c r="F174" s="351" t="s">
        <v>354</v>
      </c>
      <c r="G174" s="288"/>
      <c r="H174" s="288"/>
      <c r="I174" s="311"/>
      <c r="J174" s="288"/>
      <c r="K174" s="288"/>
      <c r="L174" s="288"/>
      <c r="M174" s="288"/>
      <c r="N174" s="288"/>
      <c r="O174" s="288"/>
      <c r="P174" s="288"/>
      <c r="Q174" s="288"/>
      <c r="R174" s="305"/>
      <c r="S174" s="288"/>
      <c r="T174" s="326"/>
      <c r="U174" s="338"/>
    </row>
    <row r="175" spans="1:21">
      <c r="A175" s="331" t="s">
        <v>3521</v>
      </c>
      <c r="B175" s="351" t="s">
        <v>317</v>
      </c>
      <c r="C175" s="351" t="s">
        <v>317</v>
      </c>
      <c r="D175" s="351" t="s">
        <v>317</v>
      </c>
      <c r="E175" s="351" t="s">
        <v>317</v>
      </c>
      <c r="F175" s="351" t="s">
        <v>317</v>
      </c>
      <c r="G175" s="288"/>
      <c r="H175" s="288"/>
      <c r="I175" s="311"/>
      <c r="J175" s="288"/>
      <c r="K175" s="288"/>
      <c r="L175" s="288"/>
      <c r="M175" s="288"/>
      <c r="N175" s="288"/>
      <c r="O175" s="288"/>
      <c r="P175" s="288"/>
      <c r="Q175" s="288"/>
      <c r="R175" s="305"/>
      <c r="S175" s="288"/>
      <c r="T175" s="326"/>
      <c r="U175" s="338"/>
    </row>
    <row r="176" spans="1:21" ht="30">
      <c r="A176" s="333" t="s">
        <v>3522</v>
      </c>
      <c r="B176" s="87" t="s">
        <v>1810</v>
      </c>
      <c r="C176" s="87" t="s">
        <v>2715</v>
      </c>
      <c r="D176" s="290" t="s">
        <v>2716</v>
      </c>
      <c r="E176" s="87" t="s">
        <v>2573</v>
      </c>
      <c r="F176" s="284">
        <v>36.83</v>
      </c>
      <c r="G176" s="291">
        <v>32.14</v>
      </c>
      <c r="H176" s="291">
        <f>ROUND((G176*F176),2)</f>
        <v>1183.72</v>
      </c>
      <c r="I176" s="309">
        <f t="shared" si="37"/>
        <v>2.8921802913106556E-5</v>
      </c>
      <c r="J176" s="291"/>
      <c r="K176" s="291"/>
      <c r="L176" s="291"/>
      <c r="M176" s="291"/>
      <c r="N176" s="291"/>
      <c r="O176" s="291"/>
      <c r="P176" s="291"/>
      <c r="Q176" s="291"/>
      <c r="R176" s="306">
        <v>0</v>
      </c>
      <c r="S176" s="291">
        <f t="shared" ref="S176" si="53">R176*J176</f>
        <v>0</v>
      </c>
      <c r="T176" s="327">
        <f t="shared" si="38"/>
        <v>36.83</v>
      </c>
      <c r="U176" s="334">
        <f t="shared" si="39"/>
        <v>1183.7162000000001</v>
      </c>
    </row>
    <row r="177" spans="1:21">
      <c r="A177" s="336"/>
      <c r="B177" s="293"/>
      <c r="C177" s="293"/>
      <c r="D177" s="294" t="s">
        <v>2593</v>
      </c>
      <c r="E177" s="293"/>
      <c r="F177" s="316"/>
      <c r="G177" s="295">
        <v>0</v>
      </c>
      <c r="H177" s="296">
        <f>SUM(H176)</f>
        <v>1183.72</v>
      </c>
      <c r="I177" s="310">
        <f t="shared" si="37"/>
        <v>2.8921802913106556E-5</v>
      </c>
      <c r="J177" s="296"/>
      <c r="K177" s="296"/>
      <c r="L177" s="296"/>
      <c r="M177" s="296"/>
      <c r="N177" s="296"/>
      <c r="O177" s="296"/>
      <c r="P177" s="296"/>
      <c r="Q177" s="296"/>
      <c r="R177" s="306">
        <v>0</v>
      </c>
      <c r="S177" s="296">
        <f t="shared" ref="S177:U177" si="54">SUM(S176)</f>
        <v>0</v>
      </c>
      <c r="T177" s="329"/>
      <c r="U177" s="337">
        <f t="shared" si="54"/>
        <v>1183.7162000000001</v>
      </c>
    </row>
    <row r="178" spans="1:21">
      <c r="A178" s="331">
        <v>10</v>
      </c>
      <c r="B178" s="351" t="s">
        <v>357</v>
      </c>
      <c r="C178" s="351" t="s">
        <v>357</v>
      </c>
      <c r="D178" s="351" t="s">
        <v>357</v>
      </c>
      <c r="E178" s="351" t="s">
        <v>357</v>
      </c>
      <c r="F178" s="351" t="s">
        <v>357</v>
      </c>
      <c r="G178" s="288"/>
      <c r="H178" s="288"/>
      <c r="I178" s="311"/>
      <c r="J178" s="288"/>
      <c r="K178" s="288"/>
      <c r="L178" s="288"/>
      <c r="M178" s="288"/>
      <c r="N178" s="288"/>
      <c r="O178" s="288"/>
      <c r="P178" s="288"/>
      <c r="Q178" s="288"/>
      <c r="R178" s="305"/>
      <c r="S178" s="288"/>
      <c r="T178" s="326"/>
      <c r="U178" s="338"/>
    </row>
    <row r="179" spans="1:21">
      <c r="A179" s="331" t="s">
        <v>3523</v>
      </c>
      <c r="B179" s="351" t="s">
        <v>2717</v>
      </c>
      <c r="C179" s="351" t="s">
        <v>2717</v>
      </c>
      <c r="D179" s="351" t="s">
        <v>2717</v>
      </c>
      <c r="E179" s="351" t="s">
        <v>2717</v>
      </c>
      <c r="F179" s="351" t="s">
        <v>2717</v>
      </c>
      <c r="G179" s="288"/>
      <c r="H179" s="288"/>
      <c r="I179" s="311"/>
      <c r="J179" s="288"/>
      <c r="K179" s="288"/>
      <c r="L179" s="288"/>
      <c r="M179" s="288"/>
      <c r="N179" s="288"/>
      <c r="O179" s="288"/>
      <c r="P179" s="288"/>
      <c r="Q179" s="288"/>
      <c r="R179" s="305"/>
      <c r="S179" s="288"/>
      <c r="T179" s="326"/>
      <c r="U179" s="338"/>
    </row>
    <row r="180" spans="1:21" ht="75">
      <c r="A180" s="333" t="s">
        <v>3524</v>
      </c>
      <c r="B180" s="87" t="s">
        <v>1810</v>
      </c>
      <c r="C180" s="87" t="s">
        <v>2718</v>
      </c>
      <c r="D180" s="290" t="s">
        <v>2719</v>
      </c>
      <c r="E180" s="87" t="s">
        <v>2598</v>
      </c>
      <c r="F180" s="284">
        <v>162.624</v>
      </c>
      <c r="G180" s="291">
        <v>443.22</v>
      </c>
      <c r="H180" s="291">
        <f>ROUND((G180*F180),2)</f>
        <v>72078.210000000006</v>
      </c>
      <c r="I180" s="309">
        <f t="shared" si="37"/>
        <v>1.7610852092973897E-3</v>
      </c>
      <c r="J180" s="291"/>
      <c r="K180" s="291"/>
      <c r="L180" s="291"/>
      <c r="M180" s="291"/>
      <c r="N180" s="291"/>
      <c r="O180" s="291"/>
      <c r="P180" s="291"/>
      <c r="Q180" s="291"/>
      <c r="R180" s="306">
        <v>0</v>
      </c>
      <c r="S180" s="291">
        <f t="shared" ref="S180" si="55">R180*J180</f>
        <v>0</v>
      </c>
      <c r="T180" s="327">
        <f t="shared" si="38"/>
        <v>162.624</v>
      </c>
      <c r="U180" s="334">
        <f t="shared" si="39"/>
        <v>72078.209279999995</v>
      </c>
    </row>
    <row r="181" spans="1:21">
      <c r="A181" s="336"/>
      <c r="B181" s="293"/>
      <c r="C181" s="293"/>
      <c r="D181" s="294" t="s">
        <v>2593</v>
      </c>
      <c r="E181" s="293"/>
      <c r="F181" s="316"/>
      <c r="G181" s="295">
        <v>0</v>
      </c>
      <c r="H181" s="296">
        <f>SUM(H180)</f>
        <v>72078.210000000006</v>
      </c>
      <c r="I181" s="310">
        <f t="shared" si="37"/>
        <v>1.7610852092973897E-3</v>
      </c>
      <c r="J181" s="296"/>
      <c r="K181" s="296"/>
      <c r="L181" s="296"/>
      <c r="M181" s="296"/>
      <c r="N181" s="296"/>
      <c r="O181" s="296"/>
      <c r="P181" s="296"/>
      <c r="Q181" s="296"/>
      <c r="R181" s="307">
        <v>0</v>
      </c>
      <c r="S181" s="296">
        <f>SUM(S180)</f>
        <v>0</v>
      </c>
      <c r="T181" s="329"/>
      <c r="U181" s="337">
        <f>SUM(U180)</f>
        <v>72078.209279999995</v>
      </c>
    </row>
    <row r="182" spans="1:21">
      <c r="A182" s="331" t="s">
        <v>3525</v>
      </c>
      <c r="B182" s="351" t="s">
        <v>361</v>
      </c>
      <c r="C182" s="351" t="s">
        <v>2717</v>
      </c>
      <c r="D182" s="351" t="s">
        <v>2717</v>
      </c>
      <c r="E182" s="351" t="s">
        <v>2717</v>
      </c>
      <c r="F182" s="351" t="s">
        <v>2717</v>
      </c>
      <c r="G182" s="288"/>
      <c r="H182" s="288"/>
      <c r="I182" s="311"/>
      <c r="J182" s="288"/>
      <c r="K182" s="288"/>
      <c r="L182" s="288"/>
      <c r="M182" s="288"/>
      <c r="N182" s="288"/>
      <c r="O182" s="288"/>
      <c r="P182" s="288"/>
      <c r="Q182" s="288"/>
      <c r="R182" s="305"/>
      <c r="S182" s="288"/>
      <c r="T182" s="326"/>
      <c r="U182" s="338"/>
    </row>
    <row r="183" spans="1:21" ht="45">
      <c r="A183" s="333" t="s">
        <v>3526</v>
      </c>
      <c r="B183" s="87" t="s">
        <v>133</v>
      </c>
      <c r="C183" s="87" t="s">
        <v>2720</v>
      </c>
      <c r="D183" s="290" t="s">
        <v>2721</v>
      </c>
      <c r="E183" s="87" t="s">
        <v>25</v>
      </c>
      <c r="F183" s="284">
        <v>4892.3499999999995</v>
      </c>
      <c r="G183" s="291">
        <v>38.21</v>
      </c>
      <c r="H183" s="291">
        <f>ROUND((G183*F183),2)</f>
        <v>186936.69</v>
      </c>
      <c r="I183" s="309">
        <f t="shared" si="37"/>
        <v>4.5674197491032478E-3</v>
      </c>
      <c r="J183" s="291"/>
      <c r="K183" s="291"/>
      <c r="L183" s="291"/>
      <c r="M183" s="291"/>
      <c r="N183" s="291"/>
      <c r="O183" s="291"/>
      <c r="P183" s="291"/>
      <c r="Q183" s="291"/>
      <c r="R183" s="306">
        <v>0</v>
      </c>
      <c r="S183" s="291">
        <f t="shared" ref="S183:S185" si="56">R183*J183</f>
        <v>0</v>
      </c>
      <c r="T183" s="327">
        <f t="shared" si="38"/>
        <v>4892.3499999999995</v>
      </c>
      <c r="U183" s="334">
        <f t="shared" si="39"/>
        <v>186936.69349999999</v>
      </c>
    </row>
    <row r="184" spans="1:21" ht="45">
      <c r="A184" s="333" t="s">
        <v>3527</v>
      </c>
      <c r="B184" s="87" t="s">
        <v>133</v>
      </c>
      <c r="C184" s="87" t="s">
        <v>2722</v>
      </c>
      <c r="D184" s="290" t="s">
        <v>2723</v>
      </c>
      <c r="E184" s="87" t="s">
        <v>25</v>
      </c>
      <c r="F184" s="284">
        <v>3677.2200000000003</v>
      </c>
      <c r="G184" s="291">
        <v>67.599999999999994</v>
      </c>
      <c r="H184" s="291">
        <f>ROUND((G184*F184),2)</f>
        <v>248580.07</v>
      </c>
      <c r="I184" s="309">
        <f t="shared" si="37"/>
        <v>6.0735510024889595E-3</v>
      </c>
      <c r="J184" s="291"/>
      <c r="K184" s="291"/>
      <c r="L184" s="291"/>
      <c r="M184" s="291"/>
      <c r="N184" s="291"/>
      <c r="O184" s="291"/>
      <c r="P184" s="291"/>
      <c r="Q184" s="291"/>
      <c r="R184" s="306">
        <v>0</v>
      </c>
      <c r="S184" s="291">
        <f t="shared" si="56"/>
        <v>0</v>
      </c>
      <c r="T184" s="327">
        <f t="shared" si="38"/>
        <v>3677.2200000000003</v>
      </c>
      <c r="U184" s="334">
        <f t="shared" si="39"/>
        <v>248580.07199999999</v>
      </c>
    </row>
    <row r="185" spans="1:21" ht="60">
      <c r="A185" s="333" t="s">
        <v>3528</v>
      </c>
      <c r="B185" s="87" t="s">
        <v>133</v>
      </c>
      <c r="C185" s="87" t="s">
        <v>2724</v>
      </c>
      <c r="D185" s="290" t="s">
        <v>2725</v>
      </c>
      <c r="E185" s="87" t="s">
        <v>107</v>
      </c>
      <c r="F185" s="284">
        <v>3905.268</v>
      </c>
      <c r="G185" s="291">
        <v>87.38</v>
      </c>
      <c r="H185" s="291">
        <f>ROUND((G185*F185),2)</f>
        <v>341242.32</v>
      </c>
      <c r="I185" s="309">
        <f t="shared" si="37"/>
        <v>8.3375655768688876E-3</v>
      </c>
      <c r="J185" s="291"/>
      <c r="K185" s="291"/>
      <c r="L185" s="291"/>
      <c r="M185" s="291"/>
      <c r="N185" s="291"/>
      <c r="O185" s="291"/>
      <c r="P185" s="291"/>
      <c r="Q185" s="291"/>
      <c r="R185" s="306">
        <v>0</v>
      </c>
      <c r="S185" s="291">
        <f t="shared" si="56"/>
        <v>0</v>
      </c>
      <c r="T185" s="327">
        <f t="shared" si="38"/>
        <v>3905.268</v>
      </c>
      <c r="U185" s="334">
        <f t="shared" si="39"/>
        <v>341242.31783999997</v>
      </c>
    </row>
    <row r="186" spans="1:21">
      <c r="A186" s="336"/>
      <c r="B186" s="293"/>
      <c r="C186" s="293"/>
      <c r="D186" s="294" t="s">
        <v>2593</v>
      </c>
      <c r="E186" s="293"/>
      <c r="F186" s="316"/>
      <c r="G186" s="295">
        <v>0</v>
      </c>
      <c r="H186" s="296">
        <f>SUM(H183:H185)</f>
        <v>776759.08000000007</v>
      </c>
      <c r="I186" s="310">
        <f t="shared" si="37"/>
        <v>1.8978536328461096E-2</v>
      </c>
      <c r="J186" s="296"/>
      <c r="K186" s="296"/>
      <c r="L186" s="296"/>
      <c r="M186" s="296"/>
      <c r="N186" s="296"/>
      <c r="O186" s="296"/>
      <c r="P186" s="296"/>
      <c r="Q186" s="296"/>
      <c r="R186" s="307"/>
      <c r="S186" s="296">
        <f>SUM(S183:S185)</f>
        <v>0</v>
      </c>
      <c r="T186" s="329">
        <f t="shared" si="38"/>
        <v>0</v>
      </c>
      <c r="U186" s="337">
        <f>SUM(U183:U185)</f>
        <v>776759.0833399999</v>
      </c>
    </row>
    <row r="187" spans="1:21">
      <c r="A187" s="331">
        <v>11</v>
      </c>
      <c r="B187" s="351" t="s">
        <v>374</v>
      </c>
      <c r="C187" s="351" t="s">
        <v>374</v>
      </c>
      <c r="D187" s="351" t="s">
        <v>374</v>
      </c>
      <c r="E187" s="351" t="s">
        <v>374</v>
      </c>
      <c r="F187" s="351" t="s">
        <v>374</v>
      </c>
      <c r="G187" s="288"/>
      <c r="H187" s="288"/>
      <c r="I187" s="311"/>
      <c r="J187" s="288"/>
      <c r="K187" s="288"/>
      <c r="L187" s="288"/>
      <c r="M187" s="288"/>
      <c r="N187" s="288"/>
      <c r="O187" s="288"/>
      <c r="P187" s="288"/>
      <c r="Q187" s="288"/>
      <c r="R187" s="305"/>
      <c r="S187" s="288"/>
      <c r="T187" s="326"/>
      <c r="U187" s="338"/>
    </row>
    <row r="188" spans="1:21">
      <c r="A188" s="331" t="s">
        <v>3529</v>
      </c>
      <c r="B188" s="351" t="s">
        <v>376</v>
      </c>
      <c r="C188" s="351" t="s">
        <v>376</v>
      </c>
      <c r="D188" s="351" t="s">
        <v>376</v>
      </c>
      <c r="E188" s="351" t="s">
        <v>376</v>
      </c>
      <c r="F188" s="351" t="s">
        <v>376</v>
      </c>
      <c r="G188" s="288"/>
      <c r="H188" s="288"/>
      <c r="I188" s="311"/>
      <c r="J188" s="288"/>
      <c r="K188" s="288"/>
      <c r="L188" s="288"/>
      <c r="M188" s="288"/>
      <c r="N188" s="288"/>
      <c r="O188" s="288"/>
      <c r="P188" s="288"/>
      <c r="Q188" s="288"/>
      <c r="R188" s="305"/>
      <c r="S188" s="288"/>
      <c r="T188" s="326"/>
      <c r="U188" s="338"/>
    </row>
    <row r="189" spans="1:21" ht="30">
      <c r="A189" s="333" t="s">
        <v>3530</v>
      </c>
      <c r="B189" s="87" t="s">
        <v>1810</v>
      </c>
      <c r="C189" s="87" t="s">
        <v>2726</v>
      </c>
      <c r="D189" s="290" t="s">
        <v>2727</v>
      </c>
      <c r="E189" s="87">
        <v>0</v>
      </c>
      <c r="F189" s="284">
        <v>468.27</v>
      </c>
      <c r="G189" s="291">
        <v>18.22</v>
      </c>
      <c r="H189" s="291">
        <f>ROUND((G189*F189),2)</f>
        <v>8531.8799999999992</v>
      </c>
      <c r="I189" s="309">
        <f t="shared" si="37"/>
        <v>2.0845922332838471E-4</v>
      </c>
      <c r="J189" s="291"/>
      <c r="K189" s="291"/>
      <c r="L189" s="291"/>
      <c r="M189" s="291"/>
      <c r="N189" s="291"/>
      <c r="O189" s="291"/>
      <c r="P189" s="291"/>
      <c r="Q189" s="291"/>
      <c r="R189" s="306">
        <v>0</v>
      </c>
      <c r="S189" s="291">
        <f t="shared" ref="S189" si="57">R189*J189</f>
        <v>0</v>
      </c>
      <c r="T189" s="327">
        <f t="shared" si="38"/>
        <v>468.27</v>
      </c>
      <c r="U189" s="334">
        <f t="shared" si="39"/>
        <v>8531.8793999999998</v>
      </c>
    </row>
    <row r="190" spans="1:21">
      <c r="A190" s="336"/>
      <c r="B190" s="293"/>
      <c r="C190" s="293"/>
      <c r="D190" s="294" t="s">
        <v>2593</v>
      </c>
      <c r="E190" s="293"/>
      <c r="F190" s="316"/>
      <c r="G190" s="295">
        <v>0</v>
      </c>
      <c r="H190" s="296">
        <f>SUM(H189)</f>
        <v>8531.8799999999992</v>
      </c>
      <c r="I190" s="310">
        <f t="shared" si="37"/>
        <v>2.0845922332838471E-4</v>
      </c>
      <c r="J190" s="296"/>
      <c r="K190" s="296"/>
      <c r="L190" s="296"/>
      <c r="M190" s="296"/>
      <c r="N190" s="296"/>
      <c r="O190" s="296"/>
      <c r="P190" s="296"/>
      <c r="Q190" s="296"/>
      <c r="R190" s="307">
        <v>0</v>
      </c>
      <c r="S190" s="296">
        <f>SUM(S189)</f>
        <v>0</v>
      </c>
      <c r="T190" s="329"/>
      <c r="U190" s="337">
        <f t="shared" ref="U190" si="58">SUM(U189)</f>
        <v>8531.8793999999998</v>
      </c>
    </row>
    <row r="191" spans="1:21">
      <c r="A191" s="331" t="s">
        <v>3531</v>
      </c>
      <c r="B191" s="351" t="s">
        <v>378</v>
      </c>
      <c r="C191" s="351" t="s">
        <v>378</v>
      </c>
      <c r="D191" s="351" t="s">
        <v>378</v>
      </c>
      <c r="E191" s="351" t="s">
        <v>378</v>
      </c>
      <c r="F191" s="351" t="s">
        <v>378</v>
      </c>
      <c r="G191" s="288"/>
      <c r="H191" s="288"/>
      <c r="I191" s="311"/>
      <c r="J191" s="288"/>
      <c r="K191" s="288"/>
      <c r="L191" s="288"/>
      <c r="M191" s="288"/>
      <c r="N191" s="288"/>
      <c r="O191" s="288"/>
      <c r="P191" s="288"/>
      <c r="Q191" s="288"/>
      <c r="R191" s="305"/>
      <c r="S191" s="288"/>
      <c r="T191" s="326"/>
      <c r="U191" s="338"/>
    </row>
    <row r="192" spans="1:21" ht="45">
      <c r="A192" s="333" t="s">
        <v>2728</v>
      </c>
      <c r="B192" s="87" t="s">
        <v>2728</v>
      </c>
      <c r="C192" s="87" t="s">
        <v>2729</v>
      </c>
      <c r="D192" s="290" t="s">
        <v>2730</v>
      </c>
      <c r="E192" s="87" t="s">
        <v>25</v>
      </c>
      <c r="F192" s="284">
        <v>2580.5</v>
      </c>
      <c r="G192" s="291">
        <v>129.16999999999999</v>
      </c>
      <c r="H192" s="291">
        <f>ROUND((G192*F192),2)</f>
        <v>333323.19</v>
      </c>
      <c r="I192" s="309">
        <f t="shared" si="37"/>
        <v>8.1440776598756207E-3</v>
      </c>
      <c r="J192" s="291"/>
      <c r="K192" s="291"/>
      <c r="L192" s="291"/>
      <c r="M192" s="291"/>
      <c r="N192" s="291"/>
      <c r="O192" s="291"/>
      <c r="P192" s="291"/>
      <c r="Q192" s="291"/>
      <c r="R192" s="306">
        <v>0</v>
      </c>
      <c r="S192" s="291">
        <f t="shared" ref="S192:S194" si="59">R192*J192</f>
        <v>0</v>
      </c>
      <c r="T192" s="327">
        <f t="shared" si="38"/>
        <v>2580.5</v>
      </c>
      <c r="U192" s="334">
        <f t="shared" si="39"/>
        <v>333323.18499999994</v>
      </c>
    </row>
    <row r="193" spans="1:21" ht="45">
      <c r="A193" s="333" t="s">
        <v>3532</v>
      </c>
      <c r="B193" s="87" t="s">
        <v>133</v>
      </c>
      <c r="C193" s="87" t="s">
        <v>2731</v>
      </c>
      <c r="D193" s="290" t="s">
        <v>2732</v>
      </c>
      <c r="E193" s="87" t="s">
        <v>25</v>
      </c>
      <c r="F193" s="284">
        <v>558.16</v>
      </c>
      <c r="G193" s="291">
        <v>255.04</v>
      </c>
      <c r="H193" s="291">
        <f>ROUND((G193*F193),2)</f>
        <v>142353.13</v>
      </c>
      <c r="I193" s="309">
        <f t="shared" si="37"/>
        <v>3.4781106764469943E-3</v>
      </c>
      <c r="J193" s="291"/>
      <c r="K193" s="291"/>
      <c r="L193" s="291"/>
      <c r="M193" s="291"/>
      <c r="N193" s="291"/>
      <c r="O193" s="291"/>
      <c r="P193" s="291"/>
      <c r="Q193" s="291"/>
      <c r="R193" s="306">
        <v>0</v>
      </c>
      <c r="S193" s="291">
        <f t="shared" si="59"/>
        <v>0</v>
      </c>
      <c r="T193" s="327">
        <f t="shared" si="38"/>
        <v>558.16</v>
      </c>
      <c r="U193" s="334">
        <f t="shared" si="39"/>
        <v>142353.12639999998</v>
      </c>
    </row>
    <row r="194" spans="1:21" ht="30">
      <c r="A194" s="333" t="s">
        <v>3533</v>
      </c>
      <c r="B194" s="87" t="s">
        <v>133</v>
      </c>
      <c r="C194" s="87" t="s">
        <v>2733</v>
      </c>
      <c r="D194" s="290" t="s">
        <v>2734</v>
      </c>
      <c r="E194" s="87" t="s">
        <v>25</v>
      </c>
      <c r="F194" s="284">
        <v>29.75</v>
      </c>
      <c r="G194" s="291">
        <v>72.38</v>
      </c>
      <c r="H194" s="291">
        <f>ROUND((G194*F194),2)</f>
        <v>2153.31</v>
      </c>
      <c r="I194" s="309">
        <f t="shared" si="37"/>
        <v>5.2611772573599734E-5</v>
      </c>
      <c r="J194" s="291"/>
      <c r="K194" s="291"/>
      <c r="L194" s="291"/>
      <c r="M194" s="291"/>
      <c r="N194" s="291"/>
      <c r="O194" s="291"/>
      <c r="P194" s="291"/>
      <c r="Q194" s="291"/>
      <c r="R194" s="306">
        <v>0</v>
      </c>
      <c r="S194" s="291">
        <f t="shared" si="59"/>
        <v>0</v>
      </c>
      <c r="T194" s="327">
        <f t="shared" si="38"/>
        <v>29.75</v>
      </c>
      <c r="U194" s="334">
        <f t="shared" si="39"/>
        <v>2153.3049999999998</v>
      </c>
    </row>
    <row r="195" spans="1:21">
      <c r="A195" s="336"/>
      <c r="B195" s="293"/>
      <c r="C195" s="293"/>
      <c r="D195" s="294" t="s">
        <v>2593</v>
      </c>
      <c r="E195" s="293"/>
      <c r="F195" s="316"/>
      <c r="G195" s="295">
        <v>0</v>
      </c>
      <c r="H195" s="296">
        <f>SUM(H192:H194)</f>
        <v>477829.63</v>
      </c>
      <c r="I195" s="310">
        <f t="shared" si="37"/>
        <v>1.1674800108896214E-2</v>
      </c>
      <c r="J195" s="296"/>
      <c r="K195" s="296"/>
      <c r="L195" s="296"/>
      <c r="M195" s="296"/>
      <c r="N195" s="296"/>
      <c r="O195" s="296"/>
      <c r="P195" s="296"/>
      <c r="Q195" s="296"/>
      <c r="R195" s="307">
        <v>0</v>
      </c>
      <c r="S195" s="296">
        <f>SUM(S192:S194)</f>
        <v>0</v>
      </c>
      <c r="T195" s="329"/>
      <c r="U195" s="337">
        <f t="shared" ref="U195" si="60">SUM(U192:U194)</f>
        <v>477829.61639999988</v>
      </c>
    </row>
    <row r="196" spans="1:21">
      <c r="A196" s="331" t="s">
        <v>3534</v>
      </c>
      <c r="B196" s="351" t="s">
        <v>380</v>
      </c>
      <c r="C196" s="351" t="s">
        <v>380</v>
      </c>
      <c r="D196" s="351" t="s">
        <v>380</v>
      </c>
      <c r="E196" s="351" t="s">
        <v>380</v>
      </c>
      <c r="F196" s="351" t="s">
        <v>380</v>
      </c>
      <c r="G196" s="288"/>
      <c r="H196" s="288"/>
      <c r="I196" s="311"/>
      <c r="J196" s="288"/>
      <c r="K196" s="288"/>
      <c r="L196" s="288"/>
      <c r="M196" s="288"/>
      <c r="N196" s="288"/>
      <c r="O196" s="288"/>
      <c r="P196" s="288"/>
      <c r="Q196" s="288"/>
      <c r="R196" s="305"/>
      <c r="S196" s="288"/>
      <c r="T196" s="326"/>
      <c r="U196" s="338"/>
    </row>
    <row r="197" spans="1:21" ht="45">
      <c r="A197" s="339" t="s">
        <v>3535</v>
      </c>
      <c r="B197" s="87" t="s">
        <v>1810</v>
      </c>
      <c r="C197" s="87" t="s">
        <v>2735</v>
      </c>
      <c r="D197" s="290" t="s">
        <v>2736</v>
      </c>
      <c r="E197" s="87" t="s">
        <v>25</v>
      </c>
      <c r="F197" s="284">
        <v>468.27</v>
      </c>
      <c r="G197" s="291">
        <v>88.03</v>
      </c>
      <c r="H197" s="291">
        <f>ROUND((G197*F197),2)</f>
        <v>41221.81</v>
      </c>
      <c r="I197" s="309">
        <f t="shared" si="37"/>
        <v>1.007171513991083E-3</v>
      </c>
      <c r="J197" s="291"/>
      <c r="K197" s="291"/>
      <c r="L197" s="291"/>
      <c r="M197" s="291"/>
      <c r="N197" s="291"/>
      <c r="O197" s="291"/>
      <c r="P197" s="291"/>
      <c r="Q197" s="291"/>
      <c r="R197" s="306">
        <v>0</v>
      </c>
      <c r="S197" s="291">
        <f t="shared" ref="S197" si="61">R197*J197</f>
        <v>0</v>
      </c>
      <c r="T197" s="327">
        <f t="shared" si="38"/>
        <v>468.27</v>
      </c>
      <c r="U197" s="334">
        <f t="shared" si="39"/>
        <v>41221.808100000002</v>
      </c>
    </row>
    <row r="198" spans="1:21">
      <c r="A198" s="336"/>
      <c r="B198" s="293"/>
      <c r="C198" s="293"/>
      <c r="D198" s="294" t="s">
        <v>2593</v>
      </c>
      <c r="E198" s="293"/>
      <c r="F198" s="316"/>
      <c r="G198" s="295"/>
      <c r="H198" s="296">
        <f>SUM(H197)</f>
        <v>41221.81</v>
      </c>
      <c r="I198" s="310">
        <f t="shared" si="37"/>
        <v>1.007171513991083E-3</v>
      </c>
      <c r="J198" s="296"/>
      <c r="K198" s="296"/>
      <c r="L198" s="296"/>
      <c r="M198" s="296"/>
      <c r="N198" s="296"/>
      <c r="O198" s="296"/>
      <c r="P198" s="296"/>
      <c r="Q198" s="296"/>
      <c r="R198" s="307">
        <v>0</v>
      </c>
      <c r="S198" s="296">
        <f>SUM(S197)</f>
        <v>0</v>
      </c>
      <c r="T198" s="329">
        <f t="shared" si="38"/>
        <v>0</v>
      </c>
      <c r="U198" s="337">
        <f>SUM(U197)</f>
        <v>41221.808100000002</v>
      </c>
    </row>
    <row r="199" spans="1:21">
      <c r="A199" s="331">
        <v>12</v>
      </c>
      <c r="B199" s="351" t="s">
        <v>2737</v>
      </c>
      <c r="C199" s="351" t="s">
        <v>2737</v>
      </c>
      <c r="D199" s="351" t="s">
        <v>2737</v>
      </c>
      <c r="E199" s="351" t="s">
        <v>2737</v>
      </c>
      <c r="F199" s="351" t="s">
        <v>2737</v>
      </c>
      <c r="G199" s="288"/>
      <c r="H199" s="288"/>
      <c r="I199" s="311"/>
      <c r="J199" s="288"/>
      <c r="K199" s="288"/>
      <c r="L199" s="288"/>
      <c r="M199" s="288"/>
      <c r="N199" s="288"/>
      <c r="O199" s="288"/>
      <c r="P199" s="288"/>
      <c r="Q199" s="288"/>
      <c r="R199" s="305"/>
      <c r="S199" s="288"/>
      <c r="T199" s="326"/>
      <c r="U199" s="338"/>
    </row>
    <row r="200" spans="1:21">
      <c r="A200" s="331" t="s">
        <v>3536</v>
      </c>
      <c r="B200" s="351" t="s">
        <v>376</v>
      </c>
      <c r="C200" s="351" t="s">
        <v>376</v>
      </c>
      <c r="D200" s="351" t="s">
        <v>376</v>
      </c>
      <c r="E200" s="351" t="s">
        <v>376</v>
      </c>
      <c r="F200" s="351" t="s">
        <v>376</v>
      </c>
      <c r="G200" s="288"/>
      <c r="H200" s="288"/>
      <c r="I200" s="311"/>
      <c r="J200" s="288"/>
      <c r="K200" s="288"/>
      <c r="L200" s="288"/>
      <c r="M200" s="288"/>
      <c r="N200" s="288"/>
      <c r="O200" s="288"/>
      <c r="P200" s="288"/>
      <c r="Q200" s="288"/>
      <c r="R200" s="305"/>
      <c r="S200" s="288"/>
      <c r="T200" s="326"/>
      <c r="U200" s="338"/>
    </row>
    <row r="201" spans="1:21" ht="30">
      <c r="A201" s="333" t="s">
        <v>3537</v>
      </c>
      <c r="B201" s="87" t="s">
        <v>1810</v>
      </c>
      <c r="C201" s="87" t="s">
        <v>2738</v>
      </c>
      <c r="D201" s="290" t="s">
        <v>2739</v>
      </c>
      <c r="E201" s="87" t="s">
        <v>2598</v>
      </c>
      <c r="F201" s="284">
        <v>1350.56</v>
      </c>
      <c r="G201" s="291">
        <v>9.32</v>
      </c>
      <c r="H201" s="291">
        <f>ROUND((G201*F201),2)</f>
        <v>12587.22</v>
      </c>
      <c r="I201" s="309">
        <f t="shared" si="37"/>
        <v>3.0754325014692078E-4</v>
      </c>
      <c r="J201" s="291"/>
      <c r="K201" s="291"/>
      <c r="L201" s="291"/>
      <c r="M201" s="291"/>
      <c r="N201" s="291"/>
      <c r="O201" s="291"/>
      <c r="P201" s="291"/>
      <c r="Q201" s="291"/>
      <c r="R201" s="306">
        <v>0</v>
      </c>
      <c r="S201" s="291">
        <f t="shared" ref="S201" si="62">R201*J201</f>
        <v>0</v>
      </c>
      <c r="T201" s="327">
        <f t="shared" si="38"/>
        <v>1350.56</v>
      </c>
      <c r="U201" s="334">
        <f t="shared" si="39"/>
        <v>12587.2192</v>
      </c>
    </row>
    <row r="202" spans="1:21">
      <c r="A202" s="336"/>
      <c r="B202" s="293"/>
      <c r="C202" s="293"/>
      <c r="D202" s="294" t="s">
        <v>2593</v>
      </c>
      <c r="E202" s="293"/>
      <c r="F202" s="316"/>
      <c r="G202" s="295">
        <v>0</v>
      </c>
      <c r="H202" s="296">
        <f>SUM(H201)</f>
        <v>12587.22</v>
      </c>
      <c r="I202" s="310">
        <f t="shared" si="37"/>
        <v>3.0754325014692078E-4</v>
      </c>
      <c r="J202" s="296"/>
      <c r="K202" s="296"/>
      <c r="L202" s="296"/>
      <c r="M202" s="296"/>
      <c r="N202" s="296"/>
      <c r="O202" s="296"/>
      <c r="P202" s="296"/>
      <c r="Q202" s="296"/>
      <c r="R202" s="307">
        <v>0</v>
      </c>
      <c r="S202" s="296">
        <f>SUM(S201)</f>
        <v>0</v>
      </c>
      <c r="T202" s="329"/>
      <c r="U202" s="337">
        <f t="shared" ref="U202" si="63">SUM(U201)</f>
        <v>12587.2192</v>
      </c>
    </row>
    <row r="203" spans="1:21">
      <c r="A203" s="331" t="s">
        <v>3538</v>
      </c>
      <c r="B203" s="351" t="s">
        <v>394</v>
      </c>
      <c r="C203" s="351" t="s">
        <v>394</v>
      </c>
      <c r="D203" s="351" t="s">
        <v>394</v>
      </c>
      <c r="E203" s="351" t="s">
        <v>394</v>
      </c>
      <c r="F203" s="351" t="s">
        <v>394</v>
      </c>
      <c r="G203" s="288"/>
      <c r="H203" s="288"/>
      <c r="I203" s="311"/>
      <c r="J203" s="288"/>
      <c r="K203" s="288"/>
      <c r="L203" s="288"/>
      <c r="M203" s="288"/>
      <c r="N203" s="288"/>
      <c r="O203" s="288"/>
      <c r="P203" s="288"/>
      <c r="Q203" s="288"/>
      <c r="R203" s="305"/>
      <c r="S203" s="288"/>
      <c r="T203" s="326"/>
      <c r="U203" s="338"/>
    </row>
    <row r="204" spans="1:21" ht="60">
      <c r="A204" s="333" t="s">
        <v>3539</v>
      </c>
      <c r="B204" s="87" t="s">
        <v>1810</v>
      </c>
      <c r="C204" s="87" t="s">
        <v>2740</v>
      </c>
      <c r="D204" s="290" t="s">
        <v>2741</v>
      </c>
      <c r="E204" s="87" t="s">
        <v>2598</v>
      </c>
      <c r="F204" s="284">
        <v>249.33150000000001</v>
      </c>
      <c r="G204" s="291">
        <v>116.75</v>
      </c>
      <c r="H204" s="291">
        <f>ROUND((G204*F204),2)</f>
        <v>29109.45</v>
      </c>
      <c r="I204" s="309">
        <f t="shared" ref="I204:I265" si="64">H204/$H$741</f>
        <v>7.1123050705312885E-4</v>
      </c>
      <c r="J204" s="291"/>
      <c r="K204" s="291"/>
      <c r="L204" s="291"/>
      <c r="M204" s="291"/>
      <c r="N204" s="291"/>
      <c r="O204" s="291"/>
      <c r="P204" s="291"/>
      <c r="Q204" s="291"/>
      <c r="R204" s="306">
        <v>0</v>
      </c>
      <c r="S204" s="291">
        <f t="shared" ref="S204:S206" si="65">R204*J204</f>
        <v>0</v>
      </c>
      <c r="T204" s="327">
        <f t="shared" ref="T204:T264" si="66">F204-R204</f>
        <v>249.33150000000001</v>
      </c>
      <c r="U204" s="334">
        <f t="shared" ref="U204:U264" si="67">T204*G204</f>
        <v>29109.452625000002</v>
      </c>
    </row>
    <row r="205" spans="1:21" ht="60">
      <c r="A205" s="333" t="s">
        <v>3540</v>
      </c>
      <c r="B205" s="87" t="s">
        <v>133</v>
      </c>
      <c r="C205" s="87" t="s">
        <v>2742</v>
      </c>
      <c r="D205" s="290" t="s">
        <v>2743</v>
      </c>
      <c r="E205" s="87" t="s">
        <v>25</v>
      </c>
      <c r="F205" s="284">
        <v>2096.3809999999994</v>
      </c>
      <c r="G205" s="291">
        <v>78.78</v>
      </c>
      <c r="H205" s="291">
        <f>ROUND((G205*F205),2)</f>
        <v>165152.9</v>
      </c>
      <c r="I205" s="309">
        <f t="shared" si="64"/>
        <v>4.0351769204947079E-3</v>
      </c>
      <c r="J205" s="291"/>
      <c r="K205" s="291"/>
      <c r="L205" s="291"/>
      <c r="M205" s="291"/>
      <c r="N205" s="291"/>
      <c r="O205" s="291"/>
      <c r="P205" s="291"/>
      <c r="Q205" s="291"/>
      <c r="R205" s="306">
        <v>0</v>
      </c>
      <c r="S205" s="291">
        <f t="shared" si="65"/>
        <v>0</v>
      </c>
      <c r="T205" s="327">
        <f t="shared" si="66"/>
        <v>2096.3809999999994</v>
      </c>
      <c r="U205" s="334">
        <f t="shared" si="67"/>
        <v>165152.89517999996</v>
      </c>
    </row>
    <row r="206" spans="1:21">
      <c r="A206" s="333" t="s">
        <v>3541</v>
      </c>
      <c r="B206" s="87" t="s">
        <v>2649</v>
      </c>
      <c r="C206" s="87" t="s">
        <v>2744</v>
      </c>
      <c r="D206" s="292" t="s">
        <v>2745</v>
      </c>
      <c r="E206" s="87" t="s">
        <v>1549</v>
      </c>
      <c r="F206" s="284">
        <v>115.39</v>
      </c>
      <c r="G206" s="291">
        <v>342.04</v>
      </c>
      <c r="H206" s="291">
        <f>ROUND((G206*F206),2)</f>
        <v>39468</v>
      </c>
      <c r="I206" s="309">
        <f t="shared" si="64"/>
        <v>9.6432071551928625E-4</v>
      </c>
      <c r="J206" s="291"/>
      <c r="K206" s="291"/>
      <c r="L206" s="291"/>
      <c r="M206" s="291"/>
      <c r="N206" s="291"/>
      <c r="O206" s="291"/>
      <c r="P206" s="291"/>
      <c r="Q206" s="291"/>
      <c r="R206" s="306">
        <v>0</v>
      </c>
      <c r="S206" s="291">
        <f t="shared" si="65"/>
        <v>0</v>
      </c>
      <c r="T206" s="327">
        <f t="shared" si="66"/>
        <v>115.39</v>
      </c>
      <c r="U206" s="334">
        <f t="shared" si="67"/>
        <v>39467.995600000002</v>
      </c>
    </row>
    <row r="207" spans="1:21">
      <c r="A207" s="336"/>
      <c r="B207" s="293"/>
      <c r="C207" s="293"/>
      <c r="D207" s="294" t="s">
        <v>2593</v>
      </c>
      <c r="E207" s="293"/>
      <c r="F207" s="316"/>
      <c r="G207" s="295">
        <v>0</v>
      </c>
      <c r="H207" s="296">
        <f>SUM(H204:H206)</f>
        <v>233730.35</v>
      </c>
      <c r="I207" s="310">
        <f t="shared" si="64"/>
        <v>5.7107281430671232E-3</v>
      </c>
      <c r="J207" s="296"/>
      <c r="K207" s="296"/>
      <c r="L207" s="296"/>
      <c r="M207" s="296"/>
      <c r="N207" s="296"/>
      <c r="O207" s="296"/>
      <c r="P207" s="296"/>
      <c r="Q207" s="296"/>
      <c r="R207" s="307">
        <v>0</v>
      </c>
      <c r="S207" s="296">
        <f>SUM(S204:S206)</f>
        <v>0</v>
      </c>
      <c r="T207" s="329"/>
      <c r="U207" s="337">
        <f t="shared" ref="U207" si="68">SUM(U204:U206)</f>
        <v>233730.34340499996</v>
      </c>
    </row>
    <row r="208" spans="1:21">
      <c r="A208" s="331" t="s">
        <v>3542</v>
      </c>
      <c r="B208" s="351" t="s">
        <v>380</v>
      </c>
      <c r="C208" s="351" t="s">
        <v>380</v>
      </c>
      <c r="D208" s="351" t="s">
        <v>380</v>
      </c>
      <c r="E208" s="351" t="s">
        <v>380</v>
      </c>
      <c r="F208" s="351" t="s">
        <v>380</v>
      </c>
      <c r="G208" s="288"/>
      <c r="H208" s="288"/>
      <c r="I208" s="311"/>
      <c r="J208" s="288"/>
      <c r="K208" s="288"/>
      <c r="L208" s="288"/>
      <c r="M208" s="288"/>
      <c r="N208" s="288"/>
      <c r="O208" s="288"/>
      <c r="P208" s="288"/>
      <c r="Q208" s="288"/>
      <c r="R208" s="305"/>
      <c r="S208" s="288"/>
      <c r="T208" s="326"/>
      <c r="U208" s="338"/>
    </row>
    <row r="209" spans="1:21" ht="45">
      <c r="A209" s="333" t="s">
        <v>3543</v>
      </c>
      <c r="B209" s="87" t="s">
        <v>1810</v>
      </c>
      <c r="C209" s="87" t="s">
        <v>2746</v>
      </c>
      <c r="D209" s="290" t="s">
        <v>404</v>
      </c>
      <c r="E209" s="87" t="s">
        <v>2598</v>
      </c>
      <c r="F209" s="284">
        <v>1420.7200000000003</v>
      </c>
      <c r="G209" s="291">
        <v>78.150000000000006</v>
      </c>
      <c r="H209" s="291">
        <f>ROUND((G209*F209),2)</f>
        <v>111029.27</v>
      </c>
      <c r="I209" s="309">
        <f t="shared" si="64"/>
        <v>2.7127755419576374E-3</v>
      </c>
      <c r="J209" s="291"/>
      <c r="K209" s="291"/>
      <c r="L209" s="291"/>
      <c r="M209" s="291"/>
      <c r="N209" s="291"/>
      <c r="O209" s="291"/>
      <c r="P209" s="291"/>
      <c r="Q209" s="291"/>
      <c r="R209" s="306">
        <v>0</v>
      </c>
      <c r="S209" s="291">
        <f t="shared" ref="S209:S210" si="69">R209*J209</f>
        <v>0</v>
      </c>
      <c r="T209" s="327">
        <f t="shared" si="66"/>
        <v>1420.7200000000003</v>
      </c>
      <c r="U209" s="334">
        <f t="shared" si="67"/>
        <v>111029.26800000003</v>
      </c>
    </row>
    <row r="210" spans="1:21" ht="60">
      <c r="A210" s="333" t="s">
        <v>3544</v>
      </c>
      <c r="B210" s="87" t="s">
        <v>1810</v>
      </c>
      <c r="C210" s="87" t="s">
        <v>2747</v>
      </c>
      <c r="D210" s="290" t="s">
        <v>2748</v>
      </c>
      <c r="E210" s="87" t="s">
        <v>2598</v>
      </c>
      <c r="F210" s="284">
        <v>49.25</v>
      </c>
      <c r="G210" s="291">
        <v>85.63</v>
      </c>
      <c r="H210" s="291">
        <f>ROUND((G210*F210),2)</f>
        <v>4217.28</v>
      </c>
      <c r="I210" s="309">
        <f t="shared" si="64"/>
        <v>1.0304070302891394E-4</v>
      </c>
      <c r="J210" s="291"/>
      <c r="K210" s="291"/>
      <c r="L210" s="291"/>
      <c r="M210" s="291"/>
      <c r="N210" s="291"/>
      <c r="O210" s="291"/>
      <c r="P210" s="291"/>
      <c r="Q210" s="291"/>
      <c r="R210" s="306">
        <v>0</v>
      </c>
      <c r="S210" s="291">
        <f t="shared" si="69"/>
        <v>0</v>
      </c>
      <c r="T210" s="327">
        <f t="shared" si="66"/>
        <v>49.25</v>
      </c>
      <c r="U210" s="334">
        <f t="shared" si="67"/>
        <v>4217.2775000000001</v>
      </c>
    </row>
    <row r="211" spans="1:21">
      <c r="A211" s="336"/>
      <c r="B211" s="293"/>
      <c r="C211" s="293"/>
      <c r="D211" s="294" t="s">
        <v>2593</v>
      </c>
      <c r="E211" s="293"/>
      <c r="F211" s="316"/>
      <c r="G211" s="295">
        <v>0</v>
      </c>
      <c r="H211" s="296">
        <f>SUM(H209:H210)</f>
        <v>115246.55</v>
      </c>
      <c r="I211" s="310">
        <f t="shared" si="64"/>
        <v>2.8158162449865511E-3</v>
      </c>
      <c r="J211" s="296"/>
      <c r="K211" s="296"/>
      <c r="L211" s="296"/>
      <c r="M211" s="296"/>
      <c r="N211" s="296"/>
      <c r="O211" s="296"/>
      <c r="P211" s="296"/>
      <c r="Q211" s="296"/>
      <c r="R211" s="307">
        <v>0</v>
      </c>
      <c r="S211" s="296">
        <f>SUM(S209:S210)</f>
        <v>0</v>
      </c>
      <c r="T211" s="329"/>
      <c r="U211" s="337">
        <f t="shared" ref="U211" si="70">SUM(U209:U210)</f>
        <v>115246.54550000002</v>
      </c>
    </row>
    <row r="212" spans="1:21">
      <c r="A212" s="331" t="s">
        <v>3545</v>
      </c>
      <c r="B212" s="351" t="s">
        <v>2749</v>
      </c>
      <c r="C212" s="351" t="s">
        <v>2749</v>
      </c>
      <c r="D212" s="351" t="s">
        <v>2749</v>
      </c>
      <c r="E212" s="351" t="s">
        <v>2749</v>
      </c>
      <c r="F212" s="351" t="s">
        <v>2749</v>
      </c>
      <c r="G212" s="288"/>
      <c r="H212" s="288"/>
      <c r="I212" s="311"/>
      <c r="J212" s="288"/>
      <c r="K212" s="288"/>
      <c r="L212" s="288"/>
      <c r="M212" s="288"/>
      <c r="N212" s="288"/>
      <c r="O212" s="288"/>
      <c r="P212" s="288"/>
      <c r="Q212" s="288"/>
      <c r="R212" s="305"/>
      <c r="S212" s="288"/>
      <c r="T212" s="326"/>
      <c r="U212" s="338"/>
    </row>
    <row r="213" spans="1:21" ht="30">
      <c r="A213" s="335" t="s">
        <v>3546</v>
      </c>
      <c r="B213" s="87" t="s">
        <v>133</v>
      </c>
      <c r="C213" s="87">
        <v>101979</v>
      </c>
      <c r="D213" s="292" t="s">
        <v>2750</v>
      </c>
      <c r="E213" s="87" t="s">
        <v>107</v>
      </c>
      <c r="F213" s="284">
        <v>639.45000000000005</v>
      </c>
      <c r="G213" s="291">
        <v>47.61</v>
      </c>
      <c r="H213" s="291">
        <f>ROUND((G213*F213),2)</f>
        <v>30444.21</v>
      </c>
      <c r="I213" s="309">
        <f t="shared" si="64"/>
        <v>7.4384266673303454E-4</v>
      </c>
      <c r="J213" s="291"/>
      <c r="K213" s="291"/>
      <c r="L213" s="291"/>
      <c r="M213" s="291"/>
      <c r="N213" s="291"/>
      <c r="O213" s="291"/>
      <c r="P213" s="291"/>
      <c r="Q213" s="291"/>
      <c r="R213" s="306">
        <v>0</v>
      </c>
      <c r="S213" s="291">
        <f t="shared" ref="S213" si="71">R213*J213</f>
        <v>0</v>
      </c>
      <c r="T213" s="327">
        <f t="shared" si="66"/>
        <v>639.45000000000005</v>
      </c>
      <c r="U213" s="334">
        <f t="shared" si="67"/>
        <v>30444.214500000002</v>
      </c>
    </row>
    <row r="214" spans="1:21">
      <c r="A214" s="336"/>
      <c r="B214" s="293"/>
      <c r="C214" s="293"/>
      <c r="D214" s="294" t="s">
        <v>2593</v>
      </c>
      <c r="E214" s="293"/>
      <c r="F214" s="316"/>
      <c r="G214" s="295">
        <v>0</v>
      </c>
      <c r="H214" s="296">
        <f>SUM(H213)</f>
        <v>30444.21</v>
      </c>
      <c r="I214" s="310">
        <f t="shared" si="64"/>
        <v>7.4384266673303454E-4</v>
      </c>
      <c r="J214" s="296"/>
      <c r="K214" s="296"/>
      <c r="L214" s="296"/>
      <c r="M214" s="296"/>
      <c r="N214" s="296"/>
      <c r="O214" s="296"/>
      <c r="P214" s="296"/>
      <c r="Q214" s="296"/>
      <c r="R214" s="307">
        <v>0</v>
      </c>
      <c r="S214" s="296">
        <f>SUM(S213)</f>
        <v>0</v>
      </c>
      <c r="T214" s="329"/>
      <c r="U214" s="337">
        <f t="shared" ref="U214" si="72">SUM(U213)</f>
        <v>30444.214500000002</v>
      </c>
    </row>
    <row r="215" spans="1:21">
      <c r="A215" s="331">
        <v>13</v>
      </c>
      <c r="B215" s="351" t="s">
        <v>409</v>
      </c>
      <c r="C215" s="351" t="s">
        <v>409</v>
      </c>
      <c r="D215" s="351" t="s">
        <v>409</v>
      </c>
      <c r="E215" s="351" t="s">
        <v>409</v>
      </c>
      <c r="F215" s="351" t="s">
        <v>409</v>
      </c>
      <c r="G215" s="288"/>
      <c r="H215" s="288"/>
      <c r="I215" s="311"/>
      <c r="J215" s="288"/>
      <c r="K215" s="288"/>
      <c r="L215" s="288"/>
      <c r="M215" s="288"/>
      <c r="N215" s="288"/>
      <c r="O215" s="288"/>
      <c r="P215" s="288"/>
      <c r="Q215" s="288"/>
      <c r="R215" s="305"/>
      <c r="S215" s="288"/>
      <c r="T215" s="326"/>
      <c r="U215" s="338"/>
    </row>
    <row r="216" spans="1:21">
      <c r="A216" s="331" t="s">
        <v>3547</v>
      </c>
      <c r="B216" s="351" t="s">
        <v>411</v>
      </c>
      <c r="C216" s="351" t="s">
        <v>411</v>
      </c>
      <c r="D216" s="351" t="s">
        <v>411</v>
      </c>
      <c r="E216" s="351" t="s">
        <v>411</v>
      </c>
      <c r="F216" s="351" t="s">
        <v>411</v>
      </c>
      <c r="G216" s="288"/>
      <c r="H216" s="288"/>
      <c r="I216" s="311"/>
      <c r="J216" s="288"/>
      <c r="K216" s="288"/>
      <c r="L216" s="288"/>
      <c r="M216" s="288"/>
      <c r="N216" s="288"/>
      <c r="O216" s="288"/>
      <c r="P216" s="288"/>
      <c r="Q216" s="288"/>
      <c r="R216" s="305"/>
      <c r="S216" s="288"/>
      <c r="T216" s="326"/>
      <c r="U216" s="338"/>
    </row>
    <row r="217" spans="1:21" ht="30">
      <c r="A217" s="333" t="s">
        <v>3548</v>
      </c>
      <c r="B217" s="87" t="s">
        <v>1810</v>
      </c>
      <c r="C217" s="87" t="s">
        <v>2751</v>
      </c>
      <c r="D217" s="290" t="s">
        <v>2752</v>
      </c>
      <c r="E217" s="87" t="s">
        <v>2598</v>
      </c>
      <c r="F217" s="284">
        <v>3176.3599999999997</v>
      </c>
      <c r="G217" s="291">
        <v>88.14</v>
      </c>
      <c r="H217" s="291">
        <f>ROUND((G217*F217),2)</f>
        <v>279964.37</v>
      </c>
      <c r="I217" s="309">
        <f t="shared" si="64"/>
        <v>6.8403628660764718E-3</v>
      </c>
      <c r="J217" s="291"/>
      <c r="K217" s="291"/>
      <c r="L217" s="291"/>
      <c r="M217" s="291"/>
      <c r="N217" s="291"/>
      <c r="O217" s="291"/>
      <c r="P217" s="291"/>
      <c r="Q217" s="291"/>
      <c r="R217" s="306">
        <v>0</v>
      </c>
      <c r="S217" s="291">
        <f t="shared" ref="S217:S218" si="73">R217*J217</f>
        <v>0</v>
      </c>
      <c r="T217" s="327">
        <f t="shared" si="66"/>
        <v>3176.3599999999997</v>
      </c>
      <c r="U217" s="334">
        <f t="shared" si="67"/>
        <v>279964.37039999996</v>
      </c>
    </row>
    <row r="218" spans="1:21" ht="45">
      <c r="A218" s="333" t="s">
        <v>3549</v>
      </c>
      <c r="B218" s="302" t="s">
        <v>1810</v>
      </c>
      <c r="C218" s="302">
        <v>130104</v>
      </c>
      <c r="D218" s="298" t="s">
        <v>414</v>
      </c>
      <c r="E218" s="302" t="s">
        <v>2598</v>
      </c>
      <c r="F218" s="284">
        <v>261.95000000000005</v>
      </c>
      <c r="G218" s="291">
        <v>51.21</v>
      </c>
      <c r="H218" s="291">
        <f>ROUND((G218*F218),2)</f>
        <v>13414.46</v>
      </c>
      <c r="I218" s="309">
        <f t="shared" si="64"/>
        <v>3.277551856061833E-4</v>
      </c>
      <c r="J218" s="291"/>
      <c r="K218" s="291"/>
      <c r="L218" s="291"/>
      <c r="M218" s="291"/>
      <c r="N218" s="291"/>
      <c r="O218" s="291"/>
      <c r="P218" s="291"/>
      <c r="Q218" s="291"/>
      <c r="R218" s="306">
        <v>0</v>
      </c>
      <c r="S218" s="291">
        <f t="shared" si="73"/>
        <v>0</v>
      </c>
      <c r="T218" s="327">
        <f t="shared" si="66"/>
        <v>261.95000000000005</v>
      </c>
      <c r="U218" s="334">
        <f t="shared" si="67"/>
        <v>13414.459500000003</v>
      </c>
    </row>
    <row r="219" spans="1:21">
      <c r="A219" s="336"/>
      <c r="B219" s="293"/>
      <c r="C219" s="293"/>
      <c r="D219" s="294" t="s">
        <v>2593</v>
      </c>
      <c r="E219" s="293"/>
      <c r="F219" s="316"/>
      <c r="G219" s="295">
        <v>0</v>
      </c>
      <c r="H219" s="296">
        <f>SUM(H217:H218)</f>
        <v>293378.83</v>
      </c>
      <c r="I219" s="310">
        <f t="shared" si="64"/>
        <v>7.1681180516826558E-3</v>
      </c>
      <c r="J219" s="296"/>
      <c r="K219" s="296"/>
      <c r="L219" s="296"/>
      <c r="M219" s="296"/>
      <c r="N219" s="296"/>
      <c r="O219" s="296"/>
      <c r="P219" s="296"/>
      <c r="Q219" s="296"/>
      <c r="R219" s="307">
        <v>0</v>
      </c>
      <c r="S219" s="296">
        <f>SUM(S217:S218)</f>
        <v>0</v>
      </c>
      <c r="T219" s="329"/>
      <c r="U219" s="337">
        <f t="shared" ref="U219" si="74">SUM(U217:U218)</f>
        <v>293378.82989999995</v>
      </c>
    </row>
    <row r="220" spans="1:21">
      <c r="A220" s="331" t="s">
        <v>3550</v>
      </c>
      <c r="B220" s="351" t="s">
        <v>394</v>
      </c>
      <c r="C220" s="351" t="s">
        <v>394</v>
      </c>
      <c r="D220" s="351" t="s">
        <v>394</v>
      </c>
      <c r="E220" s="351" t="s">
        <v>394</v>
      </c>
      <c r="F220" s="351" t="s">
        <v>394</v>
      </c>
      <c r="G220" s="288"/>
      <c r="H220" s="288"/>
      <c r="I220" s="311"/>
      <c r="J220" s="288"/>
      <c r="K220" s="288"/>
      <c r="L220" s="288"/>
      <c r="M220" s="288"/>
      <c r="N220" s="288"/>
      <c r="O220" s="288"/>
      <c r="P220" s="288"/>
      <c r="Q220" s="288"/>
      <c r="R220" s="305"/>
      <c r="S220" s="288"/>
      <c r="T220" s="326"/>
      <c r="U220" s="338"/>
    </row>
    <row r="221" spans="1:21" ht="45">
      <c r="A221" s="333" t="s">
        <v>3551</v>
      </c>
      <c r="B221" s="87" t="s">
        <v>133</v>
      </c>
      <c r="C221" s="87">
        <v>104597</v>
      </c>
      <c r="D221" s="290" t="s">
        <v>2753</v>
      </c>
      <c r="E221" s="87" t="s">
        <v>2598</v>
      </c>
      <c r="F221" s="284">
        <v>1295.9204999999997</v>
      </c>
      <c r="G221" s="291">
        <v>143.15</v>
      </c>
      <c r="H221" s="291">
        <f>ROUND((G221*F221),2)</f>
        <v>185511.02</v>
      </c>
      <c r="I221" s="309">
        <f t="shared" si="64"/>
        <v>4.5325863875319908E-3</v>
      </c>
      <c r="J221" s="291"/>
      <c r="K221" s="291"/>
      <c r="L221" s="291"/>
      <c r="M221" s="291"/>
      <c r="N221" s="291"/>
      <c r="O221" s="291"/>
      <c r="P221" s="291"/>
      <c r="Q221" s="291"/>
      <c r="R221" s="306">
        <v>0</v>
      </c>
      <c r="S221" s="291">
        <f>R221*J221</f>
        <v>0</v>
      </c>
      <c r="T221" s="327">
        <f t="shared" si="66"/>
        <v>1295.9204999999997</v>
      </c>
      <c r="U221" s="334">
        <f t="shared" si="67"/>
        <v>185511.01957499995</v>
      </c>
    </row>
    <row r="222" spans="1:21" ht="45">
      <c r="A222" s="333" t="s">
        <v>3552</v>
      </c>
      <c r="B222" s="87" t="s">
        <v>133</v>
      </c>
      <c r="C222" s="87">
        <v>104598</v>
      </c>
      <c r="D222" s="290" t="s">
        <v>2754</v>
      </c>
      <c r="E222" s="87" t="s">
        <v>2598</v>
      </c>
      <c r="F222" s="284">
        <v>2522.3100000000004</v>
      </c>
      <c r="G222" s="291">
        <v>127.08</v>
      </c>
      <c r="H222" s="291">
        <f>ROUND((G222*F222),2)</f>
        <v>320535.15000000002</v>
      </c>
      <c r="I222" s="309">
        <f t="shared" si="64"/>
        <v>7.831627779392971E-3</v>
      </c>
      <c r="J222" s="291"/>
      <c r="K222" s="291"/>
      <c r="L222" s="291"/>
      <c r="M222" s="291"/>
      <c r="N222" s="291"/>
      <c r="O222" s="291"/>
      <c r="P222" s="291"/>
      <c r="Q222" s="291"/>
      <c r="R222" s="306">
        <v>0</v>
      </c>
      <c r="S222" s="291">
        <f t="shared" ref="S222:S225" si="75">R222*J222</f>
        <v>0</v>
      </c>
      <c r="T222" s="327">
        <f t="shared" si="66"/>
        <v>2522.3100000000004</v>
      </c>
      <c r="U222" s="334">
        <f t="shared" si="67"/>
        <v>320535.15480000002</v>
      </c>
    </row>
    <row r="223" spans="1:21" ht="75">
      <c r="A223" s="333" t="s">
        <v>3553</v>
      </c>
      <c r="B223" s="87" t="s">
        <v>1810</v>
      </c>
      <c r="C223" s="87">
        <v>130228</v>
      </c>
      <c r="D223" s="290" t="s">
        <v>2755</v>
      </c>
      <c r="E223" s="87" t="s">
        <v>2563</v>
      </c>
      <c r="F223" s="284">
        <f>F221+F222</f>
        <v>3818.2305000000001</v>
      </c>
      <c r="G223" s="291">
        <v>66.900000000000006</v>
      </c>
      <c r="H223" s="291">
        <f>ROUND((G223*F223),2)</f>
        <v>255439.62</v>
      </c>
      <c r="I223" s="309">
        <f t="shared" si="64"/>
        <v>6.241150226268739E-3</v>
      </c>
      <c r="J223" s="291"/>
      <c r="K223" s="291"/>
      <c r="L223" s="291"/>
      <c r="M223" s="291"/>
      <c r="N223" s="291"/>
      <c r="O223" s="291"/>
      <c r="P223" s="291"/>
      <c r="Q223" s="291"/>
      <c r="R223" s="306">
        <v>0</v>
      </c>
      <c r="S223" s="291">
        <f t="shared" si="75"/>
        <v>0</v>
      </c>
      <c r="T223" s="327">
        <f t="shared" si="66"/>
        <v>3818.2305000000001</v>
      </c>
      <c r="U223" s="334">
        <f t="shared" si="67"/>
        <v>255439.62045000002</v>
      </c>
    </row>
    <row r="224" spans="1:21" ht="30">
      <c r="A224" s="335" t="s">
        <v>3553</v>
      </c>
      <c r="B224" s="87" t="s">
        <v>133</v>
      </c>
      <c r="C224" s="87">
        <v>102223</v>
      </c>
      <c r="D224" s="290" t="s">
        <v>2756</v>
      </c>
      <c r="E224" s="87" t="s">
        <v>2598</v>
      </c>
      <c r="F224" s="284">
        <v>58.1</v>
      </c>
      <c r="G224" s="291">
        <v>42.86</v>
      </c>
      <c r="H224" s="291">
        <f>ROUND((G224*F224),2)</f>
        <v>2490.17</v>
      </c>
      <c r="I224" s="309">
        <f t="shared" si="64"/>
        <v>6.0842265029002255E-5</v>
      </c>
      <c r="J224" s="291"/>
      <c r="K224" s="291"/>
      <c r="L224" s="291"/>
      <c r="M224" s="291"/>
      <c r="N224" s="291"/>
      <c r="O224" s="291"/>
      <c r="P224" s="291"/>
      <c r="Q224" s="291"/>
      <c r="R224" s="306">
        <v>0</v>
      </c>
      <c r="S224" s="291">
        <f t="shared" si="75"/>
        <v>0</v>
      </c>
      <c r="T224" s="327">
        <f t="shared" si="66"/>
        <v>58.1</v>
      </c>
      <c r="U224" s="334">
        <f t="shared" si="67"/>
        <v>2490.1660000000002</v>
      </c>
    </row>
    <row r="225" spans="1:21">
      <c r="A225" s="335" t="s">
        <v>3554</v>
      </c>
      <c r="B225" s="87" t="s">
        <v>133</v>
      </c>
      <c r="C225" s="87">
        <v>101746</v>
      </c>
      <c r="D225" s="290" t="s">
        <v>2757</v>
      </c>
      <c r="E225" s="87" t="s">
        <v>2598</v>
      </c>
      <c r="F225" s="284">
        <v>58.1</v>
      </c>
      <c r="G225" s="291">
        <v>358.13</v>
      </c>
      <c r="H225" s="291">
        <f>ROUND((G225*F225),2)</f>
        <v>20807.349999999999</v>
      </c>
      <c r="I225" s="309">
        <f t="shared" si="64"/>
        <v>5.0838549305919274E-4</v>
      </c>
      <c r="J225" s="291"/>
      <c r="K225" s="291"/>
      <c r="L225" s="291"/>
      <c r="M225" s="291"/>
      <c r="N225" s="291"/>
      <c r="O225" s="291"/>
      <c r="P225" s="291"/>
      <c r="Q225" s="291"/>
      <c r="R225" s="306">
        <v>0</v>
      </c>
      <c r="S225" s="291">
        <f t="shared" si="75"/>
        <v>0</v>
      </c>
      <c r="T225" s="327">
        <f t="shared" si="66"/>
        <v>58.1</v>
      </c>
      <c r="U225" s="334">
        <f t="shared" si="67"/>
        <v>20807.352999999999</v>
      </c>
    </row>
    <row r="226" spans="1:21">
      <c r="A226" s="336"/>
      <c r="B226" s="293"/>
      <c r="C226" s="293"/>
      <c r="D226" s="294" t="s">
        <v>2593</v>
      </c>
      <c r="E226" s="293"/>
      <c r="F226" s="316"/>
      <c r="G226" s="295">
        <v>0</v>
      </c>
      <c r="H226" s="296">
        <f>SUM(H221:H225)</f>
        <v>784783.31</v>
      </c>
      <c r="I226" s="310">
        <f t="shared" si="64"/>
        <v>1.9174592151281897E-2</v>
      </c>
      <c r="J226" s="296"/>
      <c r="K226" s="296"/>
      <c r="L226" s="296"/>
      <c r="M226" s="296"/>
      <c r="N226" s="296"/>
      <c r="O226" s="296"/>
      <c r="P226" s="296"/>
      <c r="Q226" s="296"/>
      <c r="R226" s="307">
        <v>0</v>
      </c>
      <c r="S226" s="296">
        <f>SUM(S221:S225)</f>
        <v>0</v>
      </c>
      <c r="T226" s="329"/>
      <c r="U226" s="337">
        <f t="shared" ref="U226" si="76">SUM(U221:U225)</f>
        <v>784783.31382499996</v>
      </c>
    </row>
    <row r="227" spans="1:21">
      <c r="A227" s="331" t="s">
        <v>3555</v>
      </c>
      <c r="B227" s="351" t="s">
        <v>444</v>
      </c>
      <c r="C227" s="351" t="s">
        <v>444</v>
      </c>
      <c r="D227" s="351" t="s">
        <v>444</v>
      </c>
      <c r="E227" s="351" t="s">
        <v>444</v>
      </c>
      <c r="F227" s="351" t="s">
        <v>444</v>
      </c>
      <c r="G227" s="288"/>
      <c r="H227" s="288"/>
      <c r="I227" s="311"/>
      <c r="J227" s="288"/>
      <c r="K227" s="288"/>
      <c r="L227" s="288"/>
      <c r="M227" s="288"/>
      <c r="N227" s="288"/>
      <c r="O227" s="288"/>
      <c r="P227" s="288"/>
      <c r="Q227" s="288"/>
      <c r="R227" s="305"/>
      <c r="S227" s="288"/>
      <c r="T227" s="326"/>
      <c r="U227" s="338">
        <f t="shared" si="67"/>
        <v>0</v>
      </c>
    </row>
    <row r="228" spans="1:21" ht="60">
      <c r="A228" s="333" t="s">
        <v>3556</v>
      </c>
      <c r="B228" s="87" t="s">
        <v>1810</v>
      </c>
      <c r="C228" s="87">
        <v>130315</v>
      </c>
      <c r="D228" s="292" t="s">
        <v>2758</v>
      </c>
      <c r="E228" s="87" t="s">
        <v>193</v>
      </c>
      <c r="F228" s="284">
        <v>1037.5396000000001</v>
      </c>
      <c r="G228" s="291">
        <v>59.7</v>
      </c>
      <c r="H228" s="291">
        <f t="shared" ref="H228:H233" si="77">ROUND((G228*F228),2)</f>
        <v>61941.11</v>
      </c>
      <c r="I228" s="309">
        <f t="shared" si="64"/>
        <v>1.5134056834716432E-3</v>
      </c>
      <c r="J228" s="291"/>
      <c r="K228" s="291"/>
      <c r="L228" s="291"/>
      <c r="M228" s="291"/>
      <c r="N228" s="291"/>
      <c r="O228" s="291"/>
      <c r="P228" s="291"/>
      <c r="Q228" s="291"/>
      <c r="R228" s="306">
        <v>0</v>
      </c>
      <c r="S228" s="291">
        <f t="shared" ref="S228:S232" si="78">R228*J228</f>
        <v>0</v>
      </c>
      <c r="T228" s="327">
        <f t="shared" si="66"/>
        <v>1037.5396000000001</v>
      </c>
      <c r="U228" s="334">
        <f t="shared" si="67"/>
        <v>61941.114120000006</v>
      </c>
    </row>
    <row r="229" spans="1:21">
      <c r="A229" s="333" t="s">
        <v>3557</v>
      </c>
      <c r="B229" s="87" t="s">
        <v>1810</v>
      </c>
      <c r="C229" s="87">
        <v>130317</v>
      </c>
      <c r="D229" s="292" t="s">
        <v>449</v>
      </c>
      <c r="E229" s="87" t="s">
        <v>193</v>
      </c>
      <c r="F229" s="284">
        <v>51.47999999999999</v>
      </c>
      <c r="G229" s="291">
        <v>97.63</v>
      </c>
      <c r="H229" s="291">
        <f t="shared" si="77"/>
        <v>5025.99</v>
      </c>
      <c r="I229" s="309">
        <f t="shared" si="64"/>
        <v>1.2279989543409286E-4</v>
      </c>
      <c r="J229" s="291"/>
      <c r="K229" s="291"/>
      <c r="L229" s="291"/>
      <c r="M229" s="291"/>
      <c r="N229" s="291"/>
      <c r="O229" s="291"/>
      <c r="P229" s="291"/>
      <c r="Q229" s="291"/>
      <c r="R229" s="306">
        <v>0</v>
      </c>
      <c r="S229" s="291">
        <f t="shared" si="78"/>
        <v>0</v>
      </c>
      <c r="T229" s="327">
        <f t="shared" si="66"/>
        <v>51.47999999999999</v>
      </c>
      <c r="U229" s="334">
        <f t="shared" si="67"/>
        <v>5025.9923999999992</v>
      </c>
    </row>
    <row r="230" spans="1:21">
      <c r="A230" s="333" t="s">
        <v>3558</v>
      </c>
      <c r="B230" s="87" t="s">
        <v>1810</v>
      </c>
      <c r="C230" s="87">
        <v>130308</v>
      </c>
      <c r="D230" s="292" t="s">
        <v>446</v>
      </c>
      <c r="E230" s="87" t="s">
        <v>193</v>
      </c>
      <c r="F230" s="284">
        <v>23.083199999999994</v>
      </c>
      <c r="G230" s="291">
        <v>60.07</v>
      </c>
      <c r="H230" s="291">
        <f t="shared" si="77"/>
        <v>1386.61</v>
      </c>
      <c r="I230" s="309">
        <f t="shared" si="64"/>
        <v>3.3879009510139792E-5</v>
      </c>
      <c r="J230" s="291"/>
      <c r="K230" s="291"/>
      <c r="L230" s="291"/>
      <c r="M230" s="291"/>
      <c r="N230" s="291"/>
      <c r="O230" s="291"/>
      <c r="P230" s="291"/>
      <c r="Q230" s="291"/>
      <c r="R230" s="306">
        <v>0</v>
      </c>
      <c r="S230" s="291">
        <f t="shared" si="78"/>
        <v>0</v>
      </c>
      <c r="T230" s="327">
        <f t="shared" si="66"/>
        <v>23.083199999999994</v>
      </c>
      <c r="U230" s="334">
        <f t="shared" si="67"/>
        <v>1386.6078239999997</v>
      </c>
    </row>
    <row r="231" spans="1:21" ht="30">
      <c r="A231" s="333" t="s">
        <v>3559</v>
      </c>
      <c r="B231" s="87" t="s">
        <v>1810</v>
      </c>
      <c r="C231" s="87">
        <v>120227</v>
      </c>
      <c r="D231" s="292" t="s">
        <v>397</v>
      </c>
      <c r="E231" s="87" t="s">
        <v>193</v>
      </c>
      <c r="F231" s="284">
        <v>531.94349999999997</v>
      </c>
      <c r="G231" s="291">
        <v>61.75</v>
      </c>
      <c r="H231" s="291">
        <f t="shared" si="77"/>
        <v>32847.51</v>
      </c>
      <c r="I231" s="309">
        <f t="shared" si="64"/>
        <v>8.0256243909564487E-4</v>
      </c>
      <c r="J231" s="291"/>
      <c r="K231" s="291"/>
      <c r="L231" s="291"/>
      <c r="M231" s="291"/>
      <c r="N231" s="291"/>
      <c r="O231" s="291"/>
      <c r="P231" s="291"/>
      <c r="Q231" s="291"/>
      <c r="R231" s="306">
        <v>0</v>
      </c>
      <c r="S231" s="291">
        <f t="shared" si="78"/>
        <v>0</v>
      </c>
      <c r="T231" s="327">
        <f t="shared" si="66"/>
        <v>531.94349999999997</v>
      </c>
      <c r="U231" s="334">
        <f t="shared" si="67"/>
        <v>32847.511124999997</v>
      </c>
    </row>
    <row r="232" spans="1:21" ht="30">
      <c r="A232" s="333" t="s">
        <v>3560</v>
      </c>
      <c r="B232" s="87" t="s">
        <v>133</v>
      </c>
      <c r="C232" s="87">
        <v>102223</v>
      </c>
      <c r="D232" s="290" t="s">
        <v>2756</v>
      </c>
      <c r="E232" s="87" t="s">
        <v>243</v>
      </c>
      <c r="F232" s="284">
        <v>2.58</v>
      </c>
      <c r="G232" s="291">
        <v>42.86</v>
      </c>
      <c r="H232" s="291">
        <f t="shared" si="77"/>
        <v>110.58</v>
      </c>
      <c r="I232" s="309">
        <f t="shared" si="64"/>
        <v>2.7017985386166685E-6</v>
      </c>
      <c r="J232" s="291"/>
      <c r="K232" s="291"/>
      <c r="L232" s="291"/>
      <c r="M232" s="291"/>
      <c r="N232" s="291"/>
      <c r="O232" s="291"/>
      <c r="P232" s="291"/>
      <c r="Q232" s="291"/>
      <c r="R232" s="306">
        <v>0</v>
      </c>
      <c r="S232" s="291">
        <f t="shared" si="78"/>
        <v>0</v>
      </c>
      <c r="T232" s="327">
        <f t="shared" si="66"/>
        <v>2.58</v>
      </c>
      <c r="U232" s="334">
        <f t="shared" si="67"/>
        <v>110.5788</v>
      </c>
    </row>
    <row r="233" spans="1:21">
      <c r="A233" s="333" t="s">
        <v>3561</v>
      </c>
      <c r="B233" s="87" t="s">
        <v>133</v>
      </c>
      <c r="C233" s="87">
        <v>101746</v>
      </c>
      <c r="D233" s="290" t="s">
        <v>2757</v>
      </c>
      <c r="E233" s="87" t="s">
        <v>243</v>
      </c>
      <c r="F233" s="284">
        <v>2.7090000000000001</v>
      </c>
      <c r="G233" s="291">
        <v>358.13</v>
      </c>
      <c r="H233" s="291">
        <f t="shared" si="77"/>
        <v>970.17</v>
      </c>
      <c r="I233" s="309">
        <f t="shared" si="64"/>
        <v>2.3704140786848734E-5</v>
      </c>
      <c r="J233" s="291"/>
      <c r="K233" s="291"/>
      <c r="L233" s="291"/>
      <c r="M233" s="291"/>
      <c r="N233" s="291"/>
      <c r="O233" s="291"/>
      <c r="P233" s="291"/>
      <c r="Q233" s="291"/>
      <c r="R233" s="306">
        <v>0</v>
      </c>
      <c r="S233" s="291">
        <f>R233*J233</f>
        <v>0</v>
      </c>
      <c r="T233" s="327">
        <f t="shared" si="66"/>
        <v>2.7090000000000001</v>
      </c>
      <c r="U233" s="334">
        <f t="shared" si="67"/>
        <v>970.17417</v>
      </c>
    </row>
    <row r="234" spans="1:21">
      <c r="A234" s="336"/>
      <c r="B234" s="293"/>
      <c r="C234" s="293"/>
      <c r="D234" s="294" t="s">
        <v>2593</v>
      </c>
      <c r="E234" s="293"/>
      <c r="F234" s="316"/>
      <c r="G234" s="295">
        <v>0</v>
      </c>
      <c r="H234" s="296">
        <f>SUM(H228:H233)</f>
        <v>102281.97</v>
      </c>
      <c r="I234" s="310">
        <f t="shared" si="64"/>
        <v>2.4990529668369862E-3</v>
      </c>
      <c r="J234" s="296"/>
      <c r="K234" s="296"/>
      <c r="L234" s="296"/>
      <c r="M234" s="296"/>
      <c r="N234" s="296"/>
      <c r="O234" s="296"/>
      <c r="P234" s="296"/>
      <c r="Q234" s="296"/>
      <c r="R234" s="307">
        <v>0</v>
      </c>
      <c r="S234" s="296">
        <f>SUM(S228:S233)</f>
        <v>0</v>
      </c>
      <c r="T234" s="329"/>
      <c r="U234" s="337">
        <f t="shared" ref="U234" si="79">SUM(U228:U233)</f>
        <v>102281.978439</v>
      </c>
    </row>
    <row r="235" spans="1:21">
      <c r="A235" s="331" t="s">
        <v>3562</v>
      </c>
      <c r="B235" s="351" t="s">
        <v>317</v>
      </c>
      <c r="C235" s="351" t="s">
        <v>317</v>
      </c>
      <c r="D235" s="351" t="s">
        <v>317</v>
      </c>
      <c r="E235" s="351" t="s">
        <v>317</v>
      </c>
      <c r="F235" s="351" t="s">
        <v>317</v>
      </c>
      <c r="G235" s="288"/>
      <c r="H235" s="288"/>
      <c r="I235" s="311"/>
      <c r="J235" s="288"/>
      <c r="K235" s="288"/>
      <c r="L235" s="288"/>
      <c r="M235" s="288"/>
      <c r="N235" s="288"/>
      <c r="O235" s="288"/>
      <c r="P235" s="288"/>
      <c r="Q235" s="288"/>
      <c r="R235" s="305"/>
      <c r="S235" s="288"/>
      <c r="T235" s="326"/>
      <c r="U235" s="338"/>
    </row>
    <row r="236" spans="1:21">
      <c r="A236" s="331">
        <v>14</v>
      </c>
      <c r="B236" s="351" t="s">
        <v>2759</v>
      </c>
      <c r="C236" s="351" t="s">
        <v>2759</v>
      </c>
      <c r="D236" s="351" t="s">
        <v>2759</v>
      </c>
      <c r="E236" s="351" t="s">
        <v>2759</v>
      </c>
      <c r="F236" s="351" t="s">
        <v>2759</v>
      </c>
      <c r="G236" s="288"/>
      <c r="H236" s="288"/>
      <c r="I236" s="311"/>
      <c r="J236" s="288"/>
      <c r="K236" s="288"/>
      <c r="L236" s="288"/>
      <c r="M236" s="288"/>
      <c r="N236" s="288"/>
      <c r="O236" s="288"/>
      <c r="P236" s="288"/>
      <c r="Q236" s="288"/>
      <c r="R236" s="305"/>
      <c r="S236" s="288"/>
      <c r="T236" s="326"/>
      <c r="U236" s="338"/>
    </row>
    <row r="237" spans="1:21">
      <c r="A237" s="331" t="s">
        <v>3563</v>
      </c>
      <c r="B237" s="351" t="s">
        <v>2760</v>
      </c>
      <c r="C237" s="351" t="s">
        <v>2760</v>
      </c>
      <c r="D237" s="351" t="s">
        <v>2760</v>
      </c>
      <c r="E237" s="351" t="s">
        <v>2760</v>
      </c>
      <c r="F237" s="351" t="s">
        <v>2760</v>
      </c>
      <c r="G237" s="288"/>
      <c r="H237" s="288"/>
      <c r="I237" s="311"/>
      <c r="J237" s="288"/>
      <c r="K237" s="288"/>
      <c r="L237" s="288"/>
      <c r="M237" s="288"/>
      <c r="N237" s="288"/>
      <c r="O237" s="288"/>
      <c r="P237" s="288"/>
      <c r="Q237" s="288"/>
      <c r="R237" s="305"/>
      <c r="S237" s="288"/>
      <c r="T237" s="326"/>
      <c r="U237" s="338"/>
    </row>
    <row r="238" spans="1:21" ht="75">
      <c r="A238" s="333" t="s">
        <v>3564</v>
      </c>
      <c r="B238" s="87" t="s">
        <v>1810</v>
      </c>
      <c r="C238" s="87" t="s">
        <v>2761</v>
      </c>
      <c r="D238" s="290" t="s">
        <v>569</v>
      </c>
      <c r="E238" s="87" t="s">
        <v>48</v>
      </c>
      <c r="F238" s="284">
        <v>1</v>
      </c>
      <c r="G238" s="291">
        <v>924.12</v>
      </c>
      <c r="H238" s="291">
        <f>ROUND((G238*F238),2)</f>
        <v>924.12</v>
      </c>
      <c r="I238" s="309">
        <f t="shared" si="64"/>
        <v>2.2579002220170335E-5</v>
      </c>
      <c r="J238" s="291"/>
      <c r="K238" s="291"/>
      <c r="L238" s="291"/>
      <c r="M238" s="291"/>
      <c r="N238" s="291"/>
      <c r="O238" s="291"/>
      <c r="P238" s="291"/>
      <c r="Q238" s="291"/>
      <c r="R238" s="306"/>
      <c r="S238" s="291">
        <f>R238*G238</f>
        <v>0</v>
      </c>
      <c r="T238" s="327">
        <f t="shared" si="66"/>
        <v>1</v>
      </c>
      <c r="U238" s="334">
        <f t="shared" si="67"/>
        <v>924.12</v>
      </c>
    </row>
    <row r="239" spans="1:21" ht="78" customHeight="1">
      <c r="A239" s="333" t="s">
        <v>3565</v>
      </c>
      <c r="B239" s="87" t="s">
        <v>1810</v>
      </c>
      <c r="C239" s="87" t="s">
        <v>2762</v>
      </c>
      <c r="D239" s="290" t="s">
        <v>2763</v>
      </c>
      <c r="E239" s="87" t="s">
        <v>48</v>
      </c>
      <c r="F239" s="284">
        <v>2</v>
      </c>
      <c r="G239" s="291">
        <v>9585.4599999999991</v>
      </c>
      <c r="H239" s="291">
        <f>ROUND((G239*F239),2)</f>
        <v>19170.919999999998</v>
      </c>
      <c r="I239" s="309">
        <f t="shared" si="64"/>
        <v>4.6840263736604322E-4</v>
      </c>
      <c r="J239" s="291"/>
      <c r="K239" s="291"/>
      <c r="L239" s="291"/>
      <c r="M239" s="291"/>
      <c r="N239" s="291"/>
      <c r="O239" s="291"/>
      <c r="P239" s="291"/>
      <c r="Q239" s="291"/>
      <c r="R239" s="306"/>
      <c r="S239" s="291">
        <f>R239*G239</f>
        <v>0</v>
      </c>
      <c r="T239" s="327">
        <f t="shared" si="66"/>
        <v>2</v>
      </c>
      <c r="U239" s="334">
        <f t="shared" si="67"/>
        <v>19170.919999999998</v>
      </c>
    </row>
    <row r="240" spans="1:21">
      <c r="A240" s="336"/>
      <c r="B240" s="293"/>
      <c r="C240" s="293"/>
      <c r="D240" s="294" t="s">
        <v>2593</v>
      </c>
      <c r="E240" s="293"/>
      <c r="F240" s="316"/>
      <c r="G240" s="295">
        <v>0</v>
      </c>
      <c r="H240" s="296">
        <f>SUM(H238:H239)</f>
        <v>20095.039999999997</v>
      </c>
      <c r="I240" s="310">
        <f t="shared" si="64"/>
        <v>4.9098163958621356E-4</v>
      </c>
      <c r="J240" s="296"/>
      <c r="K240" s="296"/>
      <c r="L240" s="296"/>
      <c r="M240" s="296"/>
      <c r="N240" s="296"/>
      <c r="O240" s="296"/>
      <c r="P240" s="296"/>
      <c r="Q240" s="296"/>
      <c r="R240" s="307">
        <v>0</v>
      </c>
      <c r="S240" s="296">
        <f>SUM(S238:S239)</f>
        <v>0</v>
      </c>
      <c r="T240" s="329"/>
      <c r="U240" s="337">
        <f t="shared" ref="U240" si="80">SUM(U238:U239)</f>
        <v>20095.039999999997</v>
      </c>
    </row>
    <row r="241" spans="1:21">
      <c r="A241" s="331" t="s">
        <v>3566</v>
      </c>
      <c r="B241" s="351" t="s">
        <v>2764</v>
      </c>
      <c r="C241" s="351" t="s">
        <v>2764</v>
      </c>
      <c r="D241" s="351" t="s">
        <v>2764</v>
      </c>
      <c r="E241" s="351" t="s">
        <v>2764</v>
      </c>
      <c r="F241" s="351" t="s">
        <v>2764</v>
      </c>
      <c r="G241" s="288"/>
      <c r="H241" s="288"/>
      <c r="I241" s="311"/>
      <c r="J241" s="288"/>
      <c r="K241" s="288"/>
      <c r="L241" s="288"/>
      <c r="M241" s="288"/>
      <c r="N241" s="288"/>
      <c r="O241" s="288"/>
      <c r="P241" s="288"/>
      <c r="Q241" s="288"/>
      <c r="R241" s="305"/>
      <c r="S241" s="288"/>
      <c r="T241" s="326"/>
      <c r="U241" s="338"/>
    </row>
    <row r="242" spans="1:21" ht="30">
      <c r="A242" s="333" t="s">
        <v>3567</v>
      </c>
      <c r="B242" s="87" t="s">
        <v>1810</v>
      </c>
      <c r="C242" s="87" t="s">
        <v>2765</v>
      </c>
      <c r="D242" s="290" t="s">
        <v>2766</v>
      </c>
      <c r="E242" s="87" t="s">
        <v>2767</v>
      </c>
      <c r="F242" s="284">
        <v>110</v>
      </c>
      <c r="G242" s="291">
        <v>136.25</v>
      </c>
      <c r="H242" s="291">
        <f t="shared" ref="H242:H250" si="81">ROUND((G242*F242),2)</f>
        <v>14987.5</v>
      </c>
      <c r="I242" s="309">
        <f t="shared" si="64"/>
        <v>3.6618923492057621E-4</v>
      </c>
      <c r="J242" s="291"/>
      <c r="K242" s="291"/>
      <c r="L242" s="291"/>
      <c r="M242" s="291"/>
      <c r="N242" s="291"/>
      <c r="O242" s="291"/>
      <c r="P242" s="291"/>
      <c r="Q242" s="291"/>
      <c r="R242" s="306">
        <v>0</v>
      </c>
      <c r="S242" s="291">
        <f t="shared" ref="S242:S250" si="82">R242*J242</f>
        <v>0</v>
      </c>
      <c r="T242" s="327">
        <f t="shared" si="66"/>
        <v>110</v>
      </c>
      <c r="U242" s="334">
        <f t="shared" si="67"/>
        <v>14987.5</v>
      </c>
    </row>
    <row r="243" spans="1:21" ht="30">
      <c r="A243" s="333" t="s">
        <v>3568</v>
      </c>
      <c r="B243" s="87" t="s">
        <v>1810</v>
      </c>
      <c r="C243" s="87" t="s">
        <v>2768</v>
      </c>
      <c r="D243" s="290" t="s">
        <v>2769</v>
      </c>
      <c r="E243" s="87" t="s">
        <v>2767</v>
      </c>
      <c r="F243" s="284">
        <v>15</v>
      </c>
      <c r="G243" s="291">
        <v>311.27999999999997</v>
      </c>
      <c r="H243" s="291">
        <f t="shared" si="81"/>
        <v>4669.2</v>
      </c>
      <c r="I243" s="309">
        <f t="shared" si="64"/>
        <v>1.1408245375754159E-4</v>
      </c>
      <c r="J243" s="291"/>
      <c r="K243" s="291"/>
      <c r="L243" s="291"/>
      <c r="M243" s="291"/>
      <c r="N243" s="291"/>
      <c r="O243" s="291"/>
      <c r="P243" s="291"/>
      <c r="Q243" s="291"/>
      <c r="R243" s="306">
        <v>0</v>
      </c>
      <c r="S243" s="291">
        <f t="shared" si="82"/>
        <v>0</v>
      </c>
      <c r="T243" s="327">
        <f t="shared" si="66"/>
        <v>15</v>
      </c>
      <c r="U243" s="334">
        <f t="shared" si="67"/>
        <v>4669.2</v>
      </c>
    </row>
    <row r="244" spans="1:21">
      <c r="A244" s="333" t="s">
        <v>3569</v>
      </c>
      <c r="B244" s="87" t="s">
        <v>1810</v>
      </c>
      <c r="C244" s="87" t="s">
        <v>2770</v>
      </c>
      <c r="D244" s="290" t="s">
        <v>2771</v>
      </c>
      <c r="E244" s="87" t="s">
        <v>2767</v>
      </c>
      <c r="F244" s="284">
        <v>23</v>
      </c>
      <c r="G244" s="291">
        <v>514.5</v>
      </c>
      <c r="H244" s="291">
        <f t="shared" si="81"/>
        <v>11833.5</v>
      </c>
      <c r="I244" s="309">
        <f t="shared" si="64"/>
        <v>2.8912762711810769E-4</v>
      </c>
      <c r="J244" s="291"/>
      <c r="K244" s="291"/>
      <c r="L244" s="291"/>
      <c r="M244" s="291"/>
      <c r="N244" s="291"/>
      <c r="O244" s="291"/>
      <c r="P244" s="291"/>
      <c r="Q244" s="291"/>
      <c r="R244" s="306">
        <v>0</v>
      </c>
      <c r="S244" s="291">
        <f t="shared" si="82"/>
        <v>0</v>
      </c>
      <c r="T244" s="327">
        <f t="shared" si="66"/>
        <v>23</v>
      </c>
      <c r="U244" s="334">
        <f t="shared" si="67"/>
        <v>11833.5</v>
      </c>
    </row>
    <row r="245" spans="1:21">
      <c r="A245" s="333" t="s">
        <v>3570</v>
      </c>
      <c r="B245" s="87" t="s">
        <v>1810</v>
      </c>
      <c r="C245" s="87" t="s">
        <v>2772</v>
      </c>
      <c r="D245" s="290" t="s">
        <v>2773</v>
      </c>
      <c r="E245" s="87" t="s">
        <v>2767</v>
      </c>
      <c r="F245" s="284">
        <v>48</v>
      </c>
      <c r="G245" s="291">
        <v>162.28</v>
      </c>
      <c r="H245" s="291">
        <f t="shared" si="81"/>
        <v>7789.44</v>
      </c>
      <c r="I245" s="309">
        <f t="shared" si="64"/>
        <v>1.9031920427421071E-4</v>
      </c>
      <c r="J245" s="291"/>
      <c r="K245" s="291"/>
      <c r="L245" s="291"/>
      <c r="M245" s="291"/>
      <c r="N245" s="291"/>
      <c r="O245" s="291"/>
      <c r="P245" s="291"/>
      <c r="Q245" s="291"/>
      <c r="R245" s="306">
        <v>0</v>
      </c>
      <c r="S245" s="291">
        <f t="shared" si="82"/>
        <v>0</v>
      </c>
      <c r="T245" s="327">
        <f t="shared" si="66"/>
        <v>48</v>
      </c>
      <c r="U245" s="334">
        <f t="shared" si="67"/>
        <v>7789.4400000000005</v>
      </c>
    </row>
    <row r="246" spans="1:21" ht="30">
      <c r="A246" s="333" t="s">
        <v>3571</v>
      </c>
      <c r="B246" s="87" t="s">
        <v>1810</v>
      </c>
      <c r="C246" s="87" t="s">
        <v>2774</v>
      </c>
      <c r="D246" s="290" t="s">
        <v>2775</v>
      </c>
      <c r="E246" s="87" t="s">
        <v>2767</v>
      </c>
      <c r="F246" s="284">
        <v>53</v>
      </c>
      <c r="G246" s="291">
        <v>123.2</v>
      </c>
      <c r="H246" s="291">
        <f t="shared" si="81"/>
        <v>6529.6</v>
      </c>
      <c r="I246" s="309">
        <f t="shared" si="64"/>
        <v>1.595375631918195E-4</v>
      </c>
      <c r="J246" s="291"/>
      <c r="K246" s="291"/>
      <c r="L246" s="291"/>
      <c r="M246" s="291"/>
      <c r="N246" s="291"/>
      <c r="O246" s="291"/>
      <c r="P246" s="291"/>
      <c r="Q246" s="291"/>
      <c r="R246" s="306">
        <v>0</v>
      </c>
      <c r="S246" s="291">
        <f t="shared" si="82"/>
        <v>0</v>
      </c>
      <c r="T246" s="327">
        <f t="shared" si="66"/>
        <v>53</v>
      </c>
      <c r="U246" s="334">
        <f t="shared" si="67"/>
        <v>6529.6</v>
      </c>
    </row>
    <row r="247" spans="1:21" ht="75">
      <c r="A247" s="333" t="s">
        <v>3572</v>
      </c>
      <c r="B247" s="87" t="s">
        <v>2776</v>
      </c>
      <c r="C247" s="87" t="s">
        <v>2777</v>
      </c>
      <c r="D247" s="290" t="s">
        <v>2778</v>
      </c>
      <c r="E247" s="87" t="s">
        <v>48</v>
      </c>
      <c r="F247" s="284">
        <v>8</v>
      </c>
      <c r="G247" s="291">
        <v>1633.64</v>
      </c>
      <c r="H247" s="291">
        <f t="shared" si="81"/>
        <v>13069.12</v>
      </c>
      <c r="I247" s="309">
        <f t="shared" si="64"/>
        <v>3.1931750151027201E-4</v>
      </c>
      <c r="J247" s="291"/>
      <c r="K247" s="291"/>
      <c r="L247" s="291"/>
      <c r="M247" s="291"/>
      <c r="N247" s="291"/>
      <c r="O247" s="291"/>
      <c r="P247" s="291"/>
      <c r="Q247" s="291"/>
      <c r="R247" s="306">
        <v>0</v>
      </c>
      <c r="S247" s="291">
        <f t="shared" si="82"/>
        <v>0</v>
      </c>
      <c r="T247" s="327">
        <f t="shared" si="66"/>
        <v>8</v>
      </c>
      <c r="U247" s="334">
        <f t="shared" si="67"/>
        <v>13069.12</v>
      </c>
    </row>
    <row r="248" spans="1:21" ht="30">
      <c r="A248" s="333" t="s">
        <v>3573</v>
      </c>
      <c r="B248" s="87" t="s">
        <v>1810</v>
      </c>
      <c r="C248" s="87" t="s">
        <v>2779</v>
      </c>
      <c r="D248" s="290" t="s">
        <v>2780</v>
      </c>
      <c r="E248" s="87" t="s">
        <v>2767</v>
      </c>
      <c r="F248" s="284">
        <v>7</v>
      </c>
      <c r="G248" s="291">
        <v>222.19</v>
      </c>
      <c r="H248" s="291">
        <f t="shared" si="81"/>
        <v>1555.33</v>
      </c>
      <c r="I248" s="309">
        <f t="shared" si="64"/>
        <v>3.8001341301018837E-5</v>
      </c>
      <c r="J248" s="291"/>
      <c r="K248" s="291"/>
      <c r="L248" s="291"/>
      <c r="M248" s="291"/>
      <c r="N248" s="291"/>
      <c r="O248" s="291"/>
      <c r="P248" s="291"/>
      <c r="Q248" s="291"/>
      <c r="R248" s="306">
        <v>0</v>
      </c>
      <c r="S248" s="291">
        <f t="shared" si="82"/>
        <v>0</v>
      </c>
      <c r="T248" s="327">
        <f t="shared" si="66"/>
        <v>7</v>
      </c>
      <c r="U248" s="334">
        <f t="shared" si="67"/>
        <v>1555.33</v>
      </c>
    </row>
    <row r="249" spans="1:21" ht="45">
      <c r="A249" s="333" t="s">
        <v>3574</v>
      </c>
      <c r="B249" s="87" t="s">
        <v>133</v>
      </c>
      <c r="C249" s="87" t="s">
        <v>2781</v>
      </c>
      <c r="D249" s="290" t="s">
        <v>2782</v>
      </c>
      <c r="E249" s="87" t="s">
        <v>48</v>
      </c>
      <c r="F249" s="284">
        <v>21</v>
      </c>
      <c r="G249" s="291">
        <v>129.91</v>
      </c>
      <c r="H249" s="291">
        <f t="shared" si="81"/>
        <v>2728.11</v>
      </c>
      <c r="I249" s="309">
        <f t="shared" si="64"/>
        <v>6.6655847451487787E-5</v>
      </c>
      <c r="J249" s="291"/>
      <c r="K249" s="291"/>
      <c r="L249" s="291"/>
      <c r="M249" s="291"/>
      <c r="N249" s="291"/>
      <c r="O249" s="291"/>
      <c r="P249" s="291"/>
      <c r="Q249" s="291"/>
      <c r="R249" s="306">
        <v>0</v>
      </c>
      <c r="S249" s="291">
        <f t="shared" si="82"/>
        <v>0</v>
      </c>
      <c r="T249" s="327">
        <f t="shared" si="66"/>
        <v>21</v>
      </c>
      <c r="U249" s="334">
        <f t="shared" si="67"/>
        <v>2728.11</v>
      </c>
    </row>
    <row r="250" spans="1:21" ht="45">
      <c r="A250" s="333" t="s">
        <v>3574</v>
      </c>
      <c r="B250" s="87" t="s">
        <v>133</v>
      </c>
      <c r="C250" s="87" t="s">
        <v>2783</v>
      </c>
      <c r="D250" s="292" t="s">
        <v>2784</v>
      </c>
      <c r="E250" s="87" t="s">
        <v>48</v>
      </c>
      <c r="F250" s="284">
        <v>60</v>
      </c>
      <c r="G250" s="291">
        <v>65.19</v>
      </c>
      <c r="H250" s="291">
        <f t="shared" si="81"/>
        <v>3911.4</v>
      </c>
      <c r="I250" s="309">
        <f t="shared" si="64"/>
        <v>9.5567144184710044E-5</v>
      </c>
      <c r="J250" s="291"/>
      <c r="K250" s="291"/>
      <c r="L250" s="291"/>
      <c r="M250" s="291"/>
      <c r="N250" s="291"/>
      <c r="O250" s="291"/>
      <c r="P250" s="291"/>
      <c r="Q250" s="291"/>
      <c r="R250" s="306">
        <v>0</v>
      </c>
      <c r="S250" s="291">
        <f t="shared" si="82"/>
        <v>0</v>
      </c>
      <c r="T250" s="327">
        <f t="shared" si="66"/>
        <v>60</v>
      </c>
      <c r="U250" s="334">
        <f t="shared" si="67"/>
        <v>3911.3999999999996</v>
      </c>
    </row>
    <row r="251" spans="1:21">
      <c r="A251" s="336"/>
      <c r="B251" s="293"/>
      <c r="C251" s="293"/>
      <c r="D251" s="294" t="s">
        <v>2593</v>
      </c>
      <c r="E251" s="293"/>
      <c r="F251" s="316"/>
      <c r="G251" s="295">
        <v>0</v>
      </c>
      <c r="H251" s="296">
        <f>SUM(H242:H250)</f>
        <v>67073.2</v>
      </c>
      <c r="I251" s="310">
        <f t="shared" si="64"/>
        <v>1.6387979177097443E-3</v>
      </c>
      <c r="J251" s="296"/>
      <c r="K251" s="296"/>
      <c r="L251" s="296"/>
      <c r="M251" s="296"/>
      <c r="N251" s="296"/>
      <c r="O251" s="296"/>
      <c r="P251" s="296"/>
      <c r="Q251" s="296"/>
      <c r="R251" s="307">
        <v>0</v>
      </c>
      <c r="S251" s="296">
        <f>SUM(S242:S250)</f>
        <v>0</v>
      </c>
      <c r="T251" s="329"/>
      <c r="U251" s="337">
        <f t="shared" ref="U251" si="83">SUM(U242:U250)</f>
        <v>67073.2</v>
      </c>
    </row>
    <row r="252" spans="1:21">
      <c r="A252" s="331" t="s">
        <v>3575</v>
      </c>
      <c r="B252" s="351" t="s">
        <v>2785</v>
      </c>
      <c r="C252" s="351" t="s">
        <v>2785</v>
      </c>
      <c r="D252" s="351" t="s">
        <v>2785</v>
      </c>
      <c r="E252" s="351" t="s">
        <v>2785</v>
      </c>
      <c r="F252" s="351" t="s">
        <v>2785</v>
      </c>
      <c r="G252" s="288"/>
      <c r="H252" s="288"/>
      <c r="I252" s="311"/>
      <c r="J252" s="288"/>
      <c r="K252" s="288"/>
      <c r="L252" s="288"/>
      <c r="M252" s="288"/>
      <c r="N252" s="288"/>
      <c r="O252" s="288"/>
      <c r="P252" s="288"/>
      <c r="Q252" s="288"/>
      <c r="R252" s="305"/>
      <c r="S252" s="288"/>
      <c r="T252" s="326"/>
      <c r="U252" s="338"/>
    </row>
    <row r="253" spans="1:21" ht="30">
      <c r="A253" s="333" t="s">
        <v>3576</v>
      </c>
      <c r="B253" s="87" t="s">
        <v>1810</v>
      </c>
      <c r="C253" s="87" t="s">
        <v>2786</v>
      </c>
      <c r="D253" s="290" t="s">
        <v>647</v>
      </c>
      <c r="E253" s="87" t="s">
        <v>107</v>
      </c>
      <c r="F253" s="284">
        <v>225.52</v>
      </c>
      <c r="G253" s="291">
        <v>189.55</v>
      </c>
      <c r="H253" s="291">
        <f>ROUND((G253*F253),2)</f>
        <v>42747.32</v>
      </c>
      <c r="I253" s="309">
        <f t="shared" si="64"/>
        <v>1.0444442639336144E-3</v>
      </c>
      <c r="J253" s="291"/>
      <c r="K253" s="291"/>
      <c r="L253" s="291"/>
      <c r="M253" s="291"/>
      <c r="N253" s="291"/>
      <c r="O253" s="291"/>
      <c r="P253" s="291"/>
      <c r="Q253" s="291"/>
      <c r="R253" s="306">
        <v>0</v>
      </c>
      <c r="S253" s="291">
        <f t="shared" ref="S253:S256" si="84">R253*J253</f>
        <v>0</v>
      </c>
      <c r="T253" s="327">
        <f t="shared" si="66"/>
        <v>225.52</v>
      </c>
      <c r="U253" s="334">
        <f t="shared" si="67"/>
        <v>42747.316000000006</v>
      </c>
    </row>
    <row r="254" spans="1:21" ht="30">
      <c r="A254" s="333" t="s">
        <v>3577</v>
      </c>
      <c r="B254" s="87" t="s">
        <v>1810</v>
      </c>
      <c r="C254" s="87" t="s">
        <v>2787</v>
      </c>
      <c r="D254" s="290" t="s">
        <v>2788</v>
      </c>
      <c r="E254" s="87" t="s">
        <v>107</v>
      </c>
      <c r="F254" s="284">
        <v>235</v>
      </c>
      <c r="G254" s="291">
        <v>117.73</v>
      </c>
      <c r="H254" s="291">
        <f>ROUND((G254*F254),2)</f>
        <v>27666.55</v>
      </c>
      <c r="I254" s="309">
        <f t="shared" si="64"/>
        <v>6.7597616529720551E-4</v>
      </c>
      <c r="J254" s="291"/>
      <c r="K254" s="291"/>
      <c r="L254" s="291"/>
      <c r="M254" s="291"/>
      <c r="N254" s="291"/>
      <c r="O254" s="291"/>
      <c r="P254" s="291"/>
      <c r="Q254" s="291"/>
      <c r="R254" s="306">
        <v>0</v>
      </c>
      <c r="S254" s="291">
        <f t="shared" si="84"/>
        <v>0</v>
      </c>
      <c r="T254" s="327">
        <f t="shared" si="66"/>
        <v>235</v>
      </c>
      <c r="U254" s="334">
        <f t="shared" si="67"/>
        <v>27666.55</v>
      </c>
    </row>
    <row r="255" spans="1:21" ht="30">
      <c r="A255" s="333" t="s">
        <v>3578</v>
      </c>
      <c r="B255" s="87" t="s">
        <v>1810</v>
      </c>
      <c r="C255" s="87" t="s">
        <v>2789</v>
      </c>
      <c r="D255" s="290" t="s">
        <v>2790</v>
      </c>
      <c r="E255" s="87" t="s">
        <v>107</v>
      </c>
      <c r="F255" s="284">
        <v>137</v>
      </c>
      <c r="G255" s="291">
        <v>81.760000000000005</v>
      </c>
      <c r="H255" s="291">
        <f>ROUND((G255*F255),2)</f>
        <v>11201.12</v>
      </c>
      <c r="I255" s="309">
        <f t="shared" si="64"/>
        <v>2.736767014547833E-4</v>
      </c>
      <c r="J255" s="291"/>
      <c r="K255" s="291"/>
      <c r="L255" s="291"/>
      <c r="M255" s="291"/>
      <c r="N255" s="291"/>
      <c r="O255" s="291"/>
      <c r="P255" s="291"/>
      <c r="Q255" s="291"/>
      <c r="R255" s="306">
        <v>0</v>
      </c>
      <c r="S255" s="291">
        <f t="shared" si="84"/>
        <v>0</v>
      </c>
      <c r="T255" s="327">
        <f t="shared" si="66"/>
        <v>137</v>
      </c>
      <c r="U255" s="334">
        <f t="shared" si="67"/>
        <v>11201.12</v>
      </c>
    </row>
    <row r="256" spans="1:21" ht="30">
      <c r="A256" s="333" t="s">
        <v>3579</v>
      </c>
      <c r="B256" s="87" t="s">
        <v>1810</v>
      </c>
      <c r="C256" s="87" t="s">
        <v>2791</v>
      </c>
      <c r="D256" s="292" t="s">
        <v>2792</v>
      </c>
      <c r="E256" s="87" t="s">
        <v>107</v>
      </c>
      <c r="F256" s="284">
        <v>93</v>
      </c>
      <c r="G256" s="291">
        <v>73.86</v>
      </c>
      <c r="H256" s="291">
        <f>ROUND((G256*F256),2)</f>
        <v>6868.98</v>
      </c>
      <c r="I256" s="309">
        <f t="shared" si="64"/>
        <v>1.6782962674793925E-4</v>
      </c>
      <c r="J256" s="291"/>
      <c r="K256" s="291"/>
      <c r="L256" s="291"/>
      <c r="M256" s="291"/>
      <c r="N256" s="291"/>
      <c r="O256" s="291"/>
      <c r="P256" s="291"/>
      <c r="Q256" s="291"/>
      <c r="R256" s="306">
        <v>0</v>
      </c>
      <c r="S256" s="291">
        <f t="shared" si="84"/>
        <v>0</v>
      </c>
      <c r="T256" s="327">
        <f t="shared" si="66"/>
        <v>93</v>
      </c>
      <c r="U256" s="334">
        <f t="shared" si="67"/>
        <v>6868.98</v>
      </c>
    </row>
    <row r="257" spans="1:21">
      <c r="A257" s="336"/>
      <c r="B257" s="293"/>
      <c r="C257" s="293"/>
      <c r="D257" s="294" t="s">
        <v>2593</v>
      </c>
      <c r="E257" s="293"/>
      <c r="F257" s="316"/>
      <c r="G257" s="295">
        <v>0</v>
      </c>
      <c r="H257" s="296">
        <f>SUM(H253:H256)</f>
        <v>88483.969999999987</v>
      </c>
      <c r="I257" s="310">
        <f t="shared" si="64"/>
        <v>2.1619267574335423E-3</v>
      </c>
      <c r="J257" s="296"/>
      <c r="K257" s="296"/>
      <c r="L257" s="296"/>
      <c r="M257" s="296"/>
      <c r="N257" s="296"/>
      <c r="O257" s="296"/>
      <c r="P257" s="296"/>
      <c r="Q257" s="296"/>
      <c r="R257" s="307">
        <v>0</v>
      </c>
      <c r="S257" s="296">
        <f>SUM(S253:S256)</f>
        <v>0</v>
      </c>
      <c r="T257" s="329"/>
      <c r="U257" s="337">
        <f t="shared" ref="U257" si="85">SUM(U253:U256)</f>
        <v>88483.966</v>
      </c>
    </row>
    <row r="258" spans="1:21">
      <c r="A258" s="331" t="s">
        <v>3580</v>
      </c>
      <c r="B258" s="351" t="s">
        <v>2793</v>
      </c>
      <c r="C258" s="351" t="s">
        <v>2793</v>
      </c>
      <c r="D258" s="351" t="s">
        <v>2793</v>
      </c>
      <c r="E258" s="351" t="s">
        <v>2793</v>
      </c>
      <c r="F258" s="351" t="s">
        <v>2793</v>
      </c>
      <c r="G258" s="288"/>
      <c r="H258" s="288"/>
      <c r="I258" s="311"/>
      <c r="J258" s="288"/>
      <c r="K258" s="288"/>
      <c r="L258" s="288"/>
      <c r="M258" s="288"/>
      <c r="N258" s="288"/>
      <c r="O258" s="288"/>
      <c r="P258" s="288"/>
      <c r="Q258" s="288"/>
      <c r="R258" s="305"/>
      <c r="S258" s="288"/>
      <c r="T258" s="326"/>
      <c r="U258" s="338"/>
    </row>
    <row r="259" spans="1:21" ht="30">
      <c r="A259" s="333" t="s">
        <v>3581</v>
      </c>
      <c r="B259" s="87" t="s">
        <v>1810</v>
      </c>
      <c r="C259" s="87" t="s">
        <v>2786</v>
      </c>
      <c r="D259" s="290" t="s">
        <v>647</v>
      </c>
      <c r="E259" s="87" t="s">
        <v>107</v>
      </c>
      <c r="F259" s="284">
        <v>225.52</v>
      </c>
      <c r="G259" s="291">
        <v>189.55</v>
      </c>
      <c r="H259" s="291">
        <f t="shared" ref="H259:H264" si="86">ROUND((G259*F259),2)</f>
        <v>42747.32</v>
      </c>
      <c r="I259" s="309">
        <f t="shared" si="64"/>
        <v>1.0444442639336144E-3</v>
      </c>
      <c r="J259" s="291"/>
      <c r="K259" s="291"/>
      <c r="L259" s="291"/>
      <c r="M259" s="291"/>
      <c r="N259" s="291"/>
      <c r="O259" s="291"/>
      <c r="P259" s="291"/>
      <c r="Q259" s="291"/>
      <c r="R259" s="306">
        <v>0</v>
      </c>
      <c r="S259" s="291">
        <f t="shared" ref="S259:S264" si="87">R259*J259</f>
        <v>0</v>
      </c>
      <c r="T259" s="327">
        <f t="shared" si="66"/>
        <v>225.52</v>
      </c>
      <c r="U259" s="334">
        <f t="shared" si="67"/>
        <v>42747.316000000006</v>
      </c>
    </row>
    <row r="260" spans="1:21" ht="30">
      <c r="A260" s="333" t="s">
        <v>3582</v>
      </c>
      <c r="B260" s="87" t="s">
        <v>1810</v>
      </c>
      <c r="C260" s="87" t="s">
        <v>2787</v>
      </c>
      <c r="D260" s="290" t="s">
        <v>2788</v>
      </c>
      <c r="E260" s="87" t="s">
        <v>107</v>
      </c>
      <c r="F260" s="284">
        <v>410.76</v>
      </c>
      <c r="G260" s="291">
        <v>117.73</v>
      </c>
      <c r="H260" s="291">
        <f t="shared" si="86"/>
        <v>48358.77</v>
      </c>
      <c r="I260" s="309">
        <f t="shared" si="64"/>
        <v>1.1815486897748199E-3</v>
      </c>
      <c r="J260" s="291"/>
      <c r="K260" s="291"/>
      <c r="L260" s="291"/>
      <c r="M260" s="291"/>
      <c r="N260" s="291"/>
      <c r="O260" s="291"/>
      <c r="P260" s="291"/>
      <c r="Q260" s="291"/>
      <c r="R260" s="306">
        <v>0</v>
      </c>
      <c r="S260" s="291">
        <f t="shared" si="87"/>
        <v>0</v>
      </c>
      <c r="T260" s="327">
        <f t="shared" si="66"/>
        <v>410.76</v>
      </c>
      <c r="U260" s="334">
        <f t="shared" si="67"/>
        <v>48358.774799999999</v>
      </c>
    </row>
    <row r="261" spans="1:21" ht="30">
      <c r="A261" s="333" t="s">
        <v>3583</v>
      </c>
      <c r="B261" s="87" t="s">
        <v>1810</v>
      </c>
      <c r="C261" s="87" t="s">
        <v>2789</v>
      </c>
      <c r="D261" s="290" t="s">
        <v>2790</v>
      </c>
      <c r="E261" s="87">
        <v>0</v>
      </c>
      <c r="F261" s="284">
        <v>12</v>
      </c>
      <c r="G261" s="291">
        <v>81.760000000000005</v>
      </c>
      <c r="H261" s="291">
        <f t="shared" si="86"/>
        <v>981.12</v>
      </c>
      <c r="I261" s="309">
        <f t="shared" si="64"/>
        <v>2.3971681879251093E-5</v>
      </c>
      <c r="J261" s="291"/>
      <c r="K261" s="291"/>
      <c r="L261" s="291"/>
      <c r="M261" s="291"/>
      <c r="N261" s="291"/>
      <c r="O261" s="291"/>
      <c r="P261" s="291"/>
      <c r="Q261" s="291"/>
      <c r="R261" s="306">
        <v>0</v>
      </c>
      <c r="S261" s="291">
        <f t="shared" si="87"/>
        <v>0</v>
      </c>
      <c r="T261" s="327">
        <f t="shared" si="66"/>
        <v>12</v>
      </c>
      <c r="U261" s="334">
        <f t="shared" si="67"/>
        <v>981.12000000000012</v>
      </c>
    </row>
    <row r="262" spans="1:21" ht="30">
      <c r="A262" s="333" t="s">
        <v>3584</v>
      </c>
      <c r="B262" s="87" t="s">
        <v>1810</v>
      </c>
      <c r="C262" s="87" t="s">
        <v>2791</v>
      </c>
      <c r="D262" s="292" t="s">
        <v>2792</v>
      </c>
      <c r="E262" s="87" t="s">
        <v>107</v>
      </c>
      <c r="F262" s="284">
        <v>47</v>
      </c>
      <c r="G262" s="291">
        <v>73.86</v>
      </c>
      <c r="H262" s="291">
        <f t="shared" si="86"/>
        <v>3471.42</v>
      </c>
      <c r="I262" s="309">
        <f t="shared" si="64"/>
        <v>8.4817123195195118E-5</v>
      </c>
      <c r="J262" s="291"/>
      <c r="K262" s="291"/>
      <c r="L262" s="291"/>
      <c r="M262" s="291"/>
      <c r="N262" s="291"/>
      <c r="O262" s="291"/>
      <c r="P262" s="291"/>
      <c r="Q262" s="291"/>
      <c r="R262" s="306">
        <v>0</v>
      </c>
      <c r="S262" s="291">
        <f t="shared" si="87"/>
        <v>0</v>
      </c>
      <c r="T262" s="327">
        <f t="shared" si="66"/>
        <v>47</v>
      </c>
      <c r="U262" s="334">
        <f t="shared" si="67"/>
        <v>3471.42</v>
      </c>
    </row>
    <row r="263" spans="1:21" ht="30">
      <c r="A263" s="333" t="s">
        <v>3585</v>
      </c>
      <c r="B263" s="87" t="s">
        <v>1810</v>
      </c>
      <c r="C263" s="87">
        <v>141907</v>
      </c>
      <c r="D263" s="292" t="s">
        <v>624</v>
      </c>
      <c r="E263" s="87" t="s">
        <v>107</v>
      </c>
      <c r="F263" s="284">
        <v>10</v>
      </c>
      <c r="G263" s="291">
        <v>46.64</v>
      </c>
      <c r="H263" s="291">
        <f t="shared" si="86"/>
        <v>466.4</v>
      </c>
      <c r="I263" s="309">
        <f t="shared" si="64"/>
        <v>1.1395540227987106E-5</v>
      </c>
      <c r="J263" s="291"/>
      <c r="K263" s="291"/>
      <c r="L263" s="291"/>
      <c r="M263" s="291"/>
      <c r="N263" s="291"/>
      <c r="O263" s="291"/>
      <c r="P263" s="291"/>
      <c r="Q263" s="291"/>
      <c r="R263" s="306">
        <v>0</v>
      </c>
      <c r="S263" s="291">
        <f t="shared" si="87"/>
        <v>0</v>
      </c>
      <c r="T263" s="327">
        <f t="shared" si="66"/>
        <v>10</v>
      </c>
      <c r="U263" s="334">
        <f t="shared" si="67"/>
        <v>466.4</v>
      </c>
    </row>
    <row r="264" spans="1:21" ht="45">
      <c r="A264" s="333" t="s">
        <v>3586</v>
      </c>
      <c r="B264" s="87" t="s">
        <v>133</v>
      </c>
      <c r="C264" s="87" t="s">
        <v>2794</v>
      </c>
      <c r="D264" s="292" t="s">
        <v>2795</v>
      </c>
      <c r="E264" s="87" t="s">
        <v>107</v>
      </c>
      <c r="F264" s="284">
        <v>27</v>
      </c>
      <c r="G264" s="291">
        <v>535.39</v>
      </c>
      <c r="H264" s="291">
        <f t="shared" si="86"/>
        <v>14455.53</v>
      </c>
      <c r="I264" s="309">
        <f t="shared" si="64"/>
        <v>3.5319162442511674E-4</v>
      </c>
      <c r="J264" s="291"/>
      <c r="K264" s="291"/>
      <c r="L264" s="291"/>
      <c r="M264" s="291"/>
      <c r="N264" s="291"/>
      <c r="O264" s="291"/>
      <c r="P264" s="291"/>
      <c r="Q264" s="291"/>
      <c r="R264" s="306">
        <v>0</v>
      </c>
      <c r="S264" s="291">
        <f t="shared" si="87"/>
        <v>0</v>
      </c>
      <c r="T264" s="327">
        <f t="shared" si="66"/>
        <v>27</v>
      </c>
      <c r="U264" s="334">
        <f t="shared" si="67"/>
        <v>14455.529999999999</v>
      </c>
    </row>
    <row r="265" spans="1:21">
      <c r="A265" s="336"/>
      <c r="B265" s="293"/>
      <c r="C265" s="293"/>
      <c r="D265" s="294" t="s">
        <v>2593</v>
      </c>
      <c r="E265" s="293"/>
      <c r="F265" s="316"/>
      <c r="G265" s="295">
        <v>0</v>
      </c>
      <c r="H265" s="296">
        <f>SUM(H259:H264)</f>
        <v>110480.55999999998</v>
      </c>
      <c r="I265" s="310">
        <f t="shared" si="64"/>
        <v>2.6993689234359841E-3</v>
      </c>
      <c r="J265" s="296"/>
      <c r="K265" s="296"/>
      <c r="L265" s="296"/>
      <c r="M265" s="296"/>
      <c r="N265" s="296"/>
      <c r="O265" s="296"/>
      <c r="P265" s="296"/>
      <c r="Q265" s="296"/>
      <c r="R265" s="307">
        <v>0</v>
      </c>
      <c r="S265" s="296">
        <f>SUM(S259:S264)</f>
        <v>0</v>
      </c>
      <c r="T265" s="329"/>
      <c r="U265" s="337">
        <f t="shared" ref="U265" si="88">SUM(U259:U264)</f>
        <v>110480.56079999999</v>
      </c>
    </row>
    <row r="266" spans="1:21">
      <c r="A266" s="331" t="s">
        <v>3587</v>
      </c>
      <c r="B266" s="351" t="s">
        <v>2796</v>
      </c>
      <c r="C266" s="351" t="s">
        <v>2796</v>
      </c>
      <c r="D266" s="351" t="s">
        <v>2796</v>
      </c>
      <c r="E266" s="351" t="s">
        <v>2796</v>
      </c>
      <c r="F266" s="351" t="s">
        <v>2796</v>
      </c>
      <c r="G266" s="288"/>
      <c r="H266" s="288"/>
      <c r="I266" s="311"/>
      <c r="J266" s="288"/>
      <c r="K266" s="288"/>
      <c r="L266" s="288"/>
      <c r="M266" s="288"/>
      <c r="N266" s="288"/>
      <c r="O266" s="288"/>
      <c r="P266" s="288"/>
      <c r="Q266" s="288"/>
      <c r="R266" s="305"/>
      <c r="S266" s="288"/>
      <c r="T266" s="326"/>
      <c r="U266" s="338"/>
    </row>
    <row r="267" spans="1:21" ht="75">
      <c r="A267" s="333" t="s">
        <v>3588</v>
      </c>
      <c r="B267" s="87" t="s">
        <v>1810</v>
      </c>
      <c r="C267" s="87" t="s">
        <v>2797</v>
      </c>
      <c r="D267" s="292" t="s">
        <v>2798</v>
      </c>
      <c r="E267" s="87" t="s">
        <v>48</v>
      </c>
      <c r="F267" s="284">
        <v>21</v>
      </c>
      <c r="G267" s="291">
        <v>770.74</v>
      </c>
      <c r="H267" s="291">
        <f>ROUND((G267*F267),2)</f>
        <v>16185.54</v>
      </c>
      <c r="I267" s="309"/>
      <c r="J267" s="291"/>
      <c r="K267" s="291"/>
      <c r="L267" s="291"/>
      <c r="M267" s="291"/>
      <c r="N267" s="291"/>
      <c r="O267" s="291"/>
      <c r="P267" s="291"/>
      <c r="Q267" s="291"/>
      <c r="R267" s="306"/>
      <c r="S267" s="291">
        <f t="shared" ref="S267:S270" si="89">R267*J267</f>
        <v>0</v>
      </c>
      <c r="T267" s="327">
        <f t="shared" ref="T267:T331" si="90">F267-R267</f>
        <v>21</v>
      </c>
      <c r="U267" s="334">
        <f t="shared" ref="U267:U331" si="91">T267*G267</f>
        <v>16185.54</v>
      </c>
    </row>
    <row r="268" spans="1:21" ht="75">
      <c r="A268" s="333" t="s">
        <v>3589</v>
      </c>
      <c r="B268" s="87" t="s">
        <v>1810</v>
      </c>
      <c r="C268" s="87">
        <v>141104</v>
      </c>
      <c r="D268" s="292" t="s">
        <v>517</v>
      </c>
      <c r="E268" s="87" t="s">
        <v>48</v>
      </c>
      <c r="F268" s="284">
        <v>2</v>
      </c>
      <c r="G268" s="291">
        <v>817.57</v>
      </c>
      <c r="H268" s="291">
        <f>ROUND((G268*F268),2)</f>
        <v>1635.14</v>
      </c>
      <c r="I268" s="309">
        <f t="shared" ref="I268:I331" si="92">H268/$H$741</f>
        <v>3.9951337153496647E-5</v>
      </c>
      <c r="J268" s="291"/>
      <c r="K268" s="291"/>
      <c r="L268" s="291"/>
      <c r="M268" s="291"/>
      <c r="N268" s="291"/>
      <c r="O268" s="291"/>
      <c r="P268" s="291"/>
      <c r="Q268" s="291"/>
      <c r="R268" s="306">
        <v>0</v>
      </c>
      <c r="S268" s="291">
        <f t="shared" si="89"/>
        <v>0</v>
      </c>
      <c r="T268" s="327">
        <f t="shared" si="90"/>
        <v>2</v>
      </c>
      <c r="U268" s="334">
        <f t="shared" si="91"/>
        <v>1635.14</v>
      </c>
    </row>
    <row r="269" spans="1:21" ht="60">
      <c r="A269" s="333" t="s">
        <v>3590</v>
      </c>
      <c r="B269" s="87" t="s">
        <v>1810</v>
      </c>
      <c r="C269" s="87">
        <v>151015</v>
      </c>
      <c r="D269" s="292" t="s">
        <v>2799</v>
      </c>
      <c r="E269" s="87" t="s">
        <v>48</v>
      </c>
      <c r="F269" s="284">
        <v>23</v>
      </c>
      <c r="G269" s="291">
        <v>300.10000000000002</v>
      </c>
      <c r="H269" s="291">
        <f>ROUND((G269*F269),2)</f>
        <v>6902.3</v>
      </c>
      <c r="I269" s="309">
        <f t="shared" si="92"/>
        <v>1.6864373352408962E-4</v>
      </c>
      <c r="J269" s="291"/>
      <c r="K269" s="291"/>
      <c r="L269" s="291"/>
      <c r="M269" s="291"/>
      <c r="N269" s="291"/>
      <c r="O269" s="291"/>
      <c r="P269" s="291"/>
      <c r="Q269" s="291"/>
      <c r="R269" s="306">
        <v>0</v>
      </c>
      <c r="S269" s="291">
        <f t="shared" si="89"/>
        <v>0</v>
      </c>
      <c r="T269" s="327">
        <f t="shared" si="90"/>
        <v>23</v>
      </c>
      <c r="U269" s="334">
        <f t="shared" si="91"/>
        <v>6902.3</v>
      </c>
    </row>
    <row r="270" spans="1:21" ht="45">
      <c r="A270" s="333" t="s">
        <v>3591</v>
      </c>
      <c r="B270" s="87" t="s">
        <v>1810</v>
      </c>
      <c r="C270" s="87">
        <v>160316</v>
      </c>
      <c r="D270" s="292" t="s">
        <v>2800</v>
      </c>
      <c r="E270" s="87" t="s">
        <v>48</v>
      </c>
      <c r="F270" s="284">
        <v>25</v>
      </c>
      <c r="G270" s="291">
        <v>114.62</v>
      </c>
      <c r="H270" s="291">
        <f>ROUND((G270*F270),2)</f>
        <v>2865.5</v>
      </c>
      <c r="I270" s="309">
        <f t="shared" si="92"/>
        <v>7.0012694089401913E-5</v>
      </c>
      <c r="J270" s="291"/>
      <c r="K270" s="291"/>
      <c r="L270" s="291"/>
      <c r="M270" s="291"/>
      <c r="N270" s="291"/>
      <c r="O270" s="291"/>
      <c r="P270" s="291"/>
      <c r="Q270" s="291"/>
      <c r="R270" s="306">
        <v>0</v>
      </c>
      <c r="S270" s="291">
        <f t="shared" si="89"/>
        <v>0</v>
      </c>
      <c r="T270" s="327">
        <f t="shared" si="90"/>
        <v>25</v>
      </c>
      <c r="U270" s="334">
        <f t="shared" si="91"/>
        <v>2865.5</v>
      </c>
    </row>
    <row r="271" spans="1:21">
      <c r="A271" s="336"/>
      <c r="B271" s="293"/>
      <c r="C271" s="293"/>
      <c r="D271" s="294" t="s">
        <v>2593</v>
      </c>
      <c r="E271" s="293"/>
      <c r="F271" s="316"/>
      <c r="G271" s="295">
        <v>0</v>
      </c>
      <c r="H271" s="296">
        <f>SUM(H267:H270)</f>
        <v>27588.48</v>
      </c>
      <c r="I271" s="310">
        <f t="shared" si="92"/>
        <v>6.7406868282379436E-4</v>
      </c>
      <c r="J271" s="296"/>
      <c r="K271" s="296"/>
      <c r="L271" s="296"/>
      <c r="M271" s="296"/>
      <c r="N271" s="296"/>
      <c r="O271" s="296"/>
      <c r="P271" s="296"/>
      <c r="Q271" s="296"/>
      <c r="R271" s="307">
        <v>0</v>
      </c>
      <c r="S271" s="296">
        <f>SUM(S267:S270)</f>
        <v>0</v>
      </c>
      <c r="T271" s="329"/>
      <c r="U271" s="337">
        <f t="shared" ref="U271" si="93">SUM(U267:U270)</f>
        <v>27588.48</v>
      </c>
    </row>
    <row r="272" spans="1:21">
      <c r="A272" s="331" t="s">
        <v>3592</v>
      </c>
      <c r="B272" s="351" t="s">
        <v>2801</v>
      </c>
      <c r="C272" s="351" t="s">
        <v>2801</v>
      </c>
      <c r="D272" s="351" t="s">
        <v>2801</v>
      </c>
      <c r="E272" s="351" t="s">
        <v>2801</v>
      </c>
      <c r="F272" s="351" t="s">
        <v>2801</v>
      </c>
      <c r="G272" s="288"/>
      <c r="H272" s="288"/>
      <c r="I272" s="311"/>
      <c r="J272" s="288"/>
      <c r="K272" s="288"/>
      <c r="L272" s="288"/>
      <c r="M272" s="288"/>
      <c r="N272" s="288"/>
      <c r="O272" s="288"/>
      <c r="P272" s="288"/>
      <c r="Q272" s="288"/>
      <c r="R272" s="305"/>
      <c r="S272" s="288"/>
      <c r="T272" s="326"/>
      <c r="U272" s="338"/>
    </row>
    <row r="273" spans="1:21" ht="30">
      <c r="A273" s="333" t="s">
        <v>3593</v>
      </c>
      <c r="B273" s="87" t="s">
        <v>1810</v>
      </c>
      <c r="C273" s="87" t="s">
        <v>2802</v>
      </c>
      <c r="D273" s="290" t="s">
        <v>632</v>
      </c>
      <c r="E273" s="87" t="s">
        <v>107</v>
      </c>
      <c r="F273" s="284">
        <v>1195.5600000000002</v>
      </c>
      <c r="G273" s="291">
        <v>28.99</v>
      </c>
      <c r="H273" s="291">
        <f>ROUND((G273*F273),2)</f>
        <v>34659.279999999999</v>
      </c>
      <c r="I273" s="309">
        <f t="shared" si="92"/>
        <v>8.4682937288393858E-4</v>
      </c>
      <c r="J273" s="291"/>
      <c r="K273" s="291"/>
      <c r="L273" s="291"/>
      <c r="M273" s="291"/>
      <c r="N273" s="291"/>
      <c r="O273" s="291"/>
      <c r="P273" s="291"/>
      <c r="Q273" s="291"/>
      <c r="R273" s="306">
        <v>0</v>
      </c>
      <c r="S273" s="291">
        <f t="shared" ref="S273:S276" si="94">R273*J273</f>
        <v>0</v>
      </c>
      <c r="T273" s="327">
        <f t="shared" si="90"/>
        <v>1195.5600000000002</v>
      </c>
      <c r="U273" s="334">
        <f t="shared" si="91"/>
        <v>34659.284400000004</v>
      </c>
    </row>
    <row r="274" spans="1:21" ht="30">
      <c r="A274" s="333" t="s">
        <v>3594</v>
      </c>
      <c r="B274" s="87" t="s">
        <v>1810</v>
      </c>
      <c r="C274" s="87" t="s">
        <v>2803</v>
      </c>
      <c r="D274" s="290" t="s">
        <v>630</v>
      </c>
      <c r="E274" s="87" t="s">
        <v>107</v>
      </c>
      <c r="F274" s="284">
        <v>1215.8899999999999</v>
      </c>
      <c r="G274" s="291">
        <v>34.94</v>
      </c>
      <c r="H274" s="291">
        <f>ROUND((G274*F274),2)</f>
        <v>42483.199999999997</v>
      </c>
      <c r="I274" s="309">
        <f t="shared" si="92"/>
        <v>1.0379910261870107E-3</v>
      </c>
      <c r="J274" s="291"/>
      <c r="K274" s="291"/>
      <c r="L274" s="291"/>
      <c r="M274" s="291"/>
      <c r="N274" s="291"/>
      <c r="O274" s="291"/>
      <c r="P274" s="291"/>
      <c r="Q274" s="291"/>
      <c r="R274" s="306">
        <v>0</v>
      </c>
      <c r="S274" s="291">
        <f t="shared" si="94"/>
        <v>0</v>
      </c>
      <c r="T274" s="327">
        <f t="shared" si="90"/>
        <v>1215.8899999999999</v>
      </c>
      <c r="U274" s="334">
        <f t="shared" si="91"/>
        <v>42483.196599999996</v>
      </c>
    </row>
    <row r="275" spans="1:21" ht="30">
      <c r="A275" s="333" t="s">
        <v>3595</v>
      </c>
      <c r="B275" s="87" t="s">
        <v>1810</v>
      </c>
      <c r="C275" s="87" t="s">
        <v>2804</v>
      </c>
      <c r="D275" s="290" t="s">
        <v>638</v>
      </c>
      <c r="E275" s="87" t="s">
        <v>107</v>
      </c>
      <c r="F275" s="284">
        <v>40</v>
      </c>
      <c r="G275" s="291">
        <v>54.72</v>
      </c>
      <c r="H275" s="291">
        <f>ROUND((G275*F275),2)</f>
        <v>2188.8000000000002</v>
      </c>
      <c r="I275" s="309">
        <f t="shared" si="92"/>
        <v>5.3478898908701074E-5</v>
      </c>
      <c r="J275" s="291"/>
      <c r="K275" s="291"/>
      <c r="L275" s="291"/>
      <c r="M275" s="291"/>
      <c r="N275" s="291"/>
      <c r="O275" s="291"/>
      <c r="P275" s="291"/>
      <c r="Q275" s="291"/>
      <c r="R275" s="306">
        <v>0</v>
      </c>
      <c r="S275" s="291">
        <f t="shared" si="94"/>
        <v>0</v>
      </c>
      <c r="T275" s="327">
        <f t="shared" si="90"/>
        <v>40</v>
      </c>
      <c r="U275" s="334">
        <f t="shared" si="91"/>
        <v>2188.8000000000002</v>
      </c>
    </row>
    <row r="276" spans="1:21" ht="30">
      <c r="A276" s="333" t="s">
        <v>3596</v>
      </c>
      <c r="B276" s="87" t="s">
        <v>133</v>
      </c>
      <c r="C276" s="87" t="s">
        <v>2805</v>
      </c>
      <c r="D276" s="292" t="s">
        <v>2806</v>
      </c>
      <c r="E276" s="87" t="s">
        <v>107</v>
      </c>
      <c r="F276" s="284">
        <v>350</v>
      </c>
      <c r="G276" s="291">
        <v>380.78</v>
      </c>
      <c r="H276" s="291">
        <f>ROUND((G276*F276),2)</f>
        <v>133273</v>
      </c>
      <c r="I276" s="309">
        <f t="shared" si="92"/>
        <v>3.2562560737661355E-3</v>
      </c>
      <c r="J276" s="291"/>
      <c r="K276" s="291"/>
      <c r="L276" s="291"/>
      <c r="M276" s="291"/>
      <c r="N276" s="291"/>
      <c r="O276" s="291"/>
      <c r="P276" s="291"/>
      <c r="Q276" s="291"/>
      <c r="R276" s="306">
        <v>0</v>
      </c>
      <c r="S276" s="291">
        <f t="shared" si="94"/>
        <v>0</v>
      </c>
      <c r="T276" s="327">
        <f t="shared" si="90"/>
        <v>350</v>
      </c>
      <c r="U276" s="334">
        <f t="shared" si="91"/>
        <v>133273</v>
      </c>
    </row>
    <row r="277" spans="1:21">
      <c r="A277" s="336"/>
      <c r="B277" s="293"/>
      <c r="C277" s="293"/>
      <c r="D277" s="294" t="s">
        <v>2593</v>
      </c>
      <c r="E277" s="293"/>
      <c r="F277" s="316"/>
      <c r="G277" s="295">
        <v>0</v>
      </c>
      <c r="H277" s="296">
        <f>SUM(H273:H276)</f>
        <v>212604.28</v>
      </c>
      <c r="I277" s="310">
        <f t="shared" si="92"/>
        <v>5.1945553717457861E-3</v>
      </c>
      <c r="J277" s="296"/>
      <c r="K277" s="296"/>
      <c r="L277" s="296"/>
      <c r="M277" s="296"/>
      <c r="N277" s="296"/>
      <c r="O277" s="296"/>
      <c r="P277" s="296"/>
      <c r="Q277" s="296"/>
      <c r="R277" s="307"/>
      <c r="S277" s="296">
        <f>SUM(S273:S276)</f>
        <v>0</v>
      </c>
      <c r="T277" s="329"/>
      <c r="U277" s="337">
        <f t="shared" ref="U277" si="95">SUM(U273:U276)</f>
        <v>212604.28100000002</v>
      </c>
    </row>
    <row r="278" spans="1:21">
      <c r="A278" s="331" t="s">
        <v>3597</v>
      </c>
      <c r="B278" s="351" t="s">
        <v>2807</v>
      </c>
      <c r="C278" s="351" t="s">
        <v>2807</v>
      </c>
      <c r="D278" s="351" t="s">
        <v>2807</v>
      </c>
      <c r="E278" s="351" t="s">
        <v>2807</v>
      </c>
      <c r="F278" s="351" t="s">
        <v>2807</v>
      </c>
      <c r="G278" s="288"/>
      <c r="H278" s="288"/>
      <c r="I278" s="311"/>
      <c r="J278" s="288"/>
      <c r="K278" s="288"/>
      <c r="L278" s="288"/>
      <c r="M278" s="288"/>
      <c r="N278" s="288"/>
      <c r="O278" s="288"/>
      <c r="P278" s="288"/>
      <c r="Q278" s="288"/>
      <c r="R278" s="305"/>
      <c r="S278" s="288"/>
      <c r="T278" s="326"/>
      <c r="U278" s="338"/>
    </row>
    <row r="279" spans="1:21" ht="30">
      <c r="A279" s="333" t="s">
        <v>3598</v>
      </c>
      <c r="B279" s="87" t="s">
        <v>1810</v>
      </c>
      <c r="C279" s="87" t="s">
        <v>2808</v>
      </c>
      <c r="D279" s="290" t="s">
        <v>621</v>
      </c>
      <c r="E279" s="87" t="s">
        <v>107</v>
      </c>
      <c r="F279" s="284">
        <v>179</v>
      </c>
      <c r="G279" s="291">
        <v>36.82</v>
      </c>
      <c r="H279" s="291">
        <f>ROUND((G279*F279),2)</f>
        <v>6590.78</v>
      </c>
      <c r="I279" s="309">
        <f t="shared" si="92"/>
        <v>1.6103237269256615E-4</v>
      </c>
      <c r="J279" s="291"/>
      <c r="K279" s="291"/>
      <c r="L279" s="291"/>
      <c r="M279" s="291"/>
      <c r="N279" s="291"/>
      <c r="O279" s="291"/>
      <c r="P279" s="291"/>
      <c r="Q279" s="291"/>
      <c r="R279" s="306">
        <v>0</v>
      </c>
      <c r="S279" s="291">
        <f t="shared" ref="S279:S280" si="96">ROUND((R279*P279),2)</f>
        <v>0</v>
      </c>
      <c r="T279" s="327">
        <f t="shared" si="90"/>
        <v>179</v>
      </c>
      <c r="U279" s="334">
        <f t="shared" si="91"/>
        <v>6590.78</v>
      </c>
    </row>
    <row r="280" spans="1:21" ht="30">
      <c r="A280" s="333" t="s">
        <v>3599</v>
      </c>
      <c r="B280" s="87" t="s">
        <v>1810</v>
      </c>
      <c r="C280" s="87">
        <v>141907</v>
      </c>
      <c r="D280" s="292" t="s">
        <v>624</v>
      </c>
      <c r="E280" s="87" t="s">
        <v>107</v>
      </c>
      <c r="F280" s="284">
        <v>272</v>
      </c>
      <c r="G280" s="291">
        <v>46.64</v>
      </c>
      <c r="H280" s="291">
        <f>ROUND((G280*F280),2)</f>
        <v>12686.08</v>
      </c>
      <c r="I280" s="309">
        <f t="shared" si="92"/>
        <v>3.0995869420124926E-4</v>
      </c>
      <c r="J280" s="291"/>
      <c r="K280" s="291"/>
      <c r="L280" s="291"/>
      <c r="M280" s="291"/>
      <c r="N280" s="291"/>
      <c r="O280" s="291"/>
      <c r="P280" s="291"/>
      <c r="Q280" s="291"/>
      <c r="R280" s="306">
        <v>0</v>
      </c>
      <c r="S280" s="291">
        <f t="shared" si="96"/>
        <v>0</v>
      </c>
      <c r="T280" s="327">
        <f t="shared" si="90"/>
        <v>272</v>
      </c>
      <c r="U280" s="334">
        <f t="shared" si="91"/>
        <v>12686.08</v>
      </c>
    </row>
    <row r="281" spans="1:21">
      <c r="A281" s="336"/>
      <c r="B281" s="293"/>
      <c r="C281" s="293"/>
      <c r="D281" s="294" t="s">
        <v>2593</v>
      </c>
      <c r="E281" s="293"/>
      <c r="F281" s="316"/>
      <c r="G281" s="295">
        <v>0</v>
      </c>
      <c r="H281" s="296">
        <f>SUM(H279:H280)</f>
        <v>19276.86</v>
      </c>
      <c r="I281" s="310">
        <f t="shared" si="92"/>
        <v>4.7099106689381544E-4</v>
      </c>
      <c r="J281" s="296"/>
      <c r="K281" s="296"/>
      <c r="L281" s="296"/>
      <c r="M281" s="296"/>
      <c r="N281" s="296"/>
      <c r="O281" s="296"/>
      <c r="P281" s="296"/>
      <c r="Q281" s="296"/>
      <c r="R281" s="307">
        <v>0</v>
      </c>
      <c r="S281" s="296">
        <f>SUM(S279:S280)</f>
        <v>0</v>
      </c>
      <c r="T281" s="329"/>
      <c r="U281" s="337">
        <f t="shared" ref="U281" si="97">SUM(U279:U280)</f>
        <v>19276.86</v>
      </c>
    </row>
    <row r="282" spans="1:21">
      <c r="A282" s="331" t="s">
        <v>3600</v>
      </c>
      <c r="B282" s="351" t="s">
        <v>2809</v>
      </c>
      <c r="C282" s="351" t="s">
        <v>2809</v>
      </c>
      <c r="D282" s="351" t="s">
        <v>2809</v>
      </c>
      <c r="E282" s="351" t="s">
        <v>2809</v>
      </c>
      <c r="F282" s="351" t="s">
        <v>2809</v>
      </c>
      <c r="G282" s="288"/>
      <c r="H282" s="288"/>
      <c r="I282" s="311"/>
      <c r="J282" s="288"/>
      <c r="K282" s="288"/>
      <c r="L282" s="288"/>
      <c r="M282" s="288"/>
      <c r="N282" s="288"/>
      <c r="O282" s="288"/>
      <c r="P282" s="288"/>
      <c r="Q282" s="288"/>
      <c r="R282" s="305"/>
      <c r="S282" s="288"/>
      <c r="T282" s="326"/>
      <c r="U282" s="338"/>
    </row>
    <row r="283" spans="1:21" ht="45">
      <c r="A283" s="333" t="s">
        <v>3601</v>
      </c>
      <c r="B283" s="87" t="s">
        <v>1810</v>
      </c>
      <c r="C283" s="87" t="s">
        <v>2810</v>
      </c>
      <c r="D283" s="292" t="s">
        <v>2811</v>
      </c>
      <c r="E283" s="87" t="s">
        <v>48</v>
      </c>
      <c r="F283" s="284">
        <v>7</v>
      </c>
      <c r="G283" s="291">
        <v>844.04</v>
      </c>
      <c r="H283" s="291">
        <f t="shared" ref="H283:H297" si="98">ROUND((G283*F283),2)</f>
        <v>5908.28</v>
      </c>
      <c r="I283" s="309">
        <f t="shared" si="92"/>
        <v>1.4435686624830974E-4</v>
      </c>
      <c r="J283" s="291"/>
      <c r="K283" s="291"/>
      <c r="L283" s="291"/>
      <c r="M283" s="291"/>
      <c r="N283" s="291"/>
      <c r="O283" s="291"/>
      <c r="P283" s="291"/>
      <c r="Q283" s="291"/>
      <c r="R283" s="306">
        <v>0</v>
      </c>
      <c r="S283" s="291">
        <f t="shared" ref="S283:S297" si="99">ROUND((R283*P283),2)</f>
        <v>0</v>
      </c>
      <c r="T283" s="327">
        <f t="shared" si="90"/>
        <v>7</v>
      </c>
      <c r="U283" s="334">
        <f t="shared" si="91"/>
        <v>5908.28</v>
      </c>
    </row>
    <row r="284" spans="1:21" ht="45">
      <c r="A284" s="333" t="s">
        <v>2812</v>
      </c>
      <c r="B284" s="87" t="s">
        <v>2812</v>
      </c>
      <c r="C284" s="87" t="s">
        <v>2813</v>
      </c>
      <c r="D284" s="290" t="s">
        <v>2814</v>
      </c>
      <c r="E284" s="87" t="s">
        <v>48</v>
      </c>
      <c r="F284" s="284">
        <v>6</v>
      </c>
      <c r="G284" s="291">
        <v>945.39</v>
      </c>
      <c r="H284" s="291">
        <f t="shared" si="98"/>
        <v>5672.34</v>
      </c>
      <c r="I284" s="309">
        <f t="shared" si="92"/>
        <v>1.3859214977877442E-4</v>
      </c>
      <c r="J284" s="291"/>
      <c r="K284" s="291"/>
      <c r="L284" s="291"/>
      <c r="M284" s="291"/>
      <c r="N284" s="291"/>
      <c r="O284" s="291"/>
      <c r="P284" s="291"/>
      <c r="Q284" s="291"/>
      <c r="R284" s="306">
        <v>0</v>
      </c>
      <c r="S284" s="291">
        <f t="shared" si="99"/>
        <v>0</v>
      </c>
      <c r="T284" s="327">
        <f t="shared" si="90"/>
        <v>6</v>
      </c>
      <c r="U284" s="334">
        <f t="shared" si="91"/>
        <v>5672.34</v>
      </c>
    </row>
    <row r="285" spans="1:21" ht="30">
      <c r="A285" s="333" t="s">
        <v>3602</v>
      </c>
      <c r="B285" s="87" t="s">
        <v>1810</v>
      </c>
      <c r="C285" s="87" t="s">
        <v>2815</v>
      </c>
      <c r="D285" s="290" t="s">
        <v>2816</v>
      </c>
      <c r="E285" s="87" t="s">
        <v>48</v>
      </c>
      <c r="F285" s="284">
        <v>1</v>
      </c>
      <c r="G285" s="291">
        <v>1333.65</v>
      </c>
      <c r="H285" s="291">
        <f t="shared" si="98"/>
        <v>1333.65</v>
      </c>
      <c r="I285" s="309">
        <f t="shared" si="92"/>
        <v>3.258503907601845E-5</v>
      </c>
      <c r="J285" s="291"/>
      <c r="K285" s="291"/>
      <c r="L285" s="291"/>
      <c r="M285" s="291"/>
      <c r="N285" s="291"/>
      <c r="O285" s="291"/>
      <c r="P285" s="291"/>
      <c r="Q285" s="291"/>
      <c r="R285" s="306">
        <v>0</v>
      </c>
      <c r="S285" s="291">
        <f t="shared" si="99"/>
        <v>0</v>
      </c>
      <c r="T285" s="327">
        <f t="shared" si="90"/>
        <v>1</v>
      </c>
      <c r="U285" s="334">
        <f t="shared" si="91"/>
        <v>1333.65</v>
      </c>
    </row>
    <row r="286" spans="1:21" ht="45">
      <c r="A286" s="333" t="s">
        <v>3603</v>
      </c>
      <c r="B286" s="87" t="s">
        <v>1810</v>
      </c>
      <c r="C286" s="87" t="s">
        <v>2817</v>
      </c>
      <c r="D286" s="290" t="s">
        <v>2818</v>
      </c>
      <c r="E286" s="87" t="s">
        <v>48</v>
      </c>
      <c r="F286" s="284">
        <v>6</v>
      </c>
      <c r="G286" s="291">
        <v>4423.76</v>
      </c>
      <c r="H286" s="291">
        <f t="shared" si="98"/>
        <v>26542.560000000001</v>
      </c>
      <c r="I286" s="309">
        <f t="shared" si="92"/>
        <v>6.4851374406895681E-4</v>
      </c>
      <c r="J286" s="291"/>
      <c r="K286" s="291"/>
      <c r="L286" s="291"/>
      <c r="M286" s="291"/>
      <c r="N286" s="291"/>
      <c r="O286" s="291"/>
      <c r="P286" s="291"/>
      <c r="Q286" s="291"/>
      <c r="R286" s="306">
        <v>0</v>
      </c>
      <c r="S286" s="291">
        <f t="shared" si="99"/>
        <v>0</v>
      </c>
      <c r="T286" s="327">
        <f t="shared" si="90"/>
        <v>6</v>
      </c>
      <c r="U286" s="334">
        <f t="shared" si="91"/>
        <v>26542.560000000001</v>
      </c>
    </row>
    <row r="287" spans="1:21" ht="30">
      <c r="A287" s="333" t="s">
        <v>3604</v>
      </c>
      <c r="B287" s="87" t="s">
        <v>1810</v>
      </c>
      <c r="C287" s="87" t="s">
        <v>2819</v>
      </c>
      <c r="D287" s="290" t="s">
        <v>2820</v>
      </c>
      <c r="E287" s="87" t="s">
        <v>48</v>
      </c>
      <c r="F287" s="284">
        <v>12</v>
      </c>
      <c r="G287" s="291">
        <v>207.85</v>
      </c>
      <c r="H287" s="291">
        <f t="shared" si="98"/>
        <v>2494.1999999999998</v>
      </c>
      <c r="I287" s="309">
        <f t="shared" si="92"/>
        <v>6.0940729924196907E-5</v>
      </c>
      <c r="J287" s="291"/>
      <c r="K287" s="291"/>
      <c r="L287" s="291"/>
      <c r="M287" s="291"/>
      <c r="N287" s="291"/>
      <c r="O287" s="291"/>
      <c r="P287" s="291"/>
      <c r="Q287" s="291"/>
      <c r="R287" s="306">
        <v>0</v>
      </c>
      <c r="S287" s="291">
        <f t="shared" si="99"/>
        <v>0</v>
      </c>
      <c r="T287" s="327">
        <f t="shared" si="90"/>
        <v>12</v>
      </c>
      <c r="U287" s="334">
        <f t="shared" si="91"/>
        <v>2494.1999999999998</v>
      </c>
    </row>
    <row r="288" spans="1:21" ht="30">
      <c r="A288" s="333" t="s">
        <v>3605</v>
      </c>
      <c r="B288" s="87" t="s">
        <v>1810</v>
      </c>
      <c r="C288" s="87" t="s">
        <v>2821</v>
      </c>
      <c r="D288" s="290" t="s">
        <v>2822</v>
      </c>
      <c r="E288" s="87" t="s">
        <v>48</v>
      </c>
      <c r="F288" s="284">
        <v>91</v>
      </c>
      <c r="G288" s="291">
        <v>163.16999999999999</v>
      </c>
      <c r="H288" s="291">
        <f t="shared" si="98"/>
        <v>14848.47</v>
      </c>
      <c r="I288" s="309">
        <f t="shared" si="92"/>
        <v>3.6279231820124293E-4</v>
      </c>
      <c r="J288" s="291"/>
      <c r="K288" s="291"/>
      <c r="L288" s="291"/>
      <c r="M288" s="291"/>
      <c r="N288" s="291"/>
      <c r="O288" s="291"/>
      <c r="P288" s="291"/>
      <c r="Q288" s="291"/>
      <c r="R288" s="306">
        <v>0</v>
      </c>
      <c r="S288" s="291">
        <f t="shared" si="99"/>
        <v>0</v>
      </c>
      <c r="T288" s="327">
        <f t="shared" si="90"/>
        <v>91</v>
      </c>
      <c r="U288" s="334">
        <f t="shared" si="91"/>
        <v>14848.47</v>
      </c>
    </row>
    <row r="289" spans="1:21" ht="30">
      <c r="A289" s="333" t="s">
        <v>3606</v>
      </c>
      <c r="B289" s="87" t="s">
        <v>133</v>
      </c>
      <c r="C289" s="87" t="s">
        <v>2823</v>
      </c>
      <c r="D289" s="290" t="s">
        <v>2824</v>
      </c>
      <c r="E289" s="87" t="s">
        <v>48</v>
      </c>
      <c r="F289" s="284">
        <v>84</v>
      </c>
      <c r="G289" s="291">
        <v>67.44</v>
      </c>
      <c r="H289" s="291">
        <f t="shared" si="98"/>
        <v>5664.96</v>
      </c>
      <c r="I289" s="309">
        <f t="shared" si="92"/>
        <v>1.3841183441238816E-4</v>
      </c>
      <c r="J289" s="291"/>
      <c r="K289" s="291"/>
      <c r="L289" s="291"/>
      <c r="M289" s="291"/>
      <c r="N289" s="291"/>
      <c r="O289" s="291"/>
      <c r="P289" s="291"/>
      <c r="Q289" s="291"/>
      <c r="R289" s="306">
        <v>0</v>
      </c>
      <c r="S289" s="291">
        <f t="shared" si="99"/>
        <v>0</v>
      </c>
      <c r="T289" s="327">
        <f t="shared" si="90"/>
        <v>84</v>
      </c>
      <c r="U289" s="334">
        <f t="shared" si="91"/>
        <v>5664.96</v>
      </c>
    </row>
    <row r="290" spans="1:21" ht="30">
      <c r="A290" s="333" t="s">
        <v>3607</v>
      </c>
      <c r="B290" s="87" t="s">
        <v>133</v>
      </c>
      <c r="C290" s="87" t="s">
        <v>2825</v>
      </c>
      <c r="D290" s="290" t="s">
        <v>2826</v>
      </c>
      <c r="E290" s="87" t="s">
        <v>48</v>
      </c>
      <c r="F290" s="284">
        <v>84</v>
      </c>
      <c r="G290" s="291">
        <v>94.38</v>
      </c>
      <c r="H290" s="291">
        <f t="shared" si="98"/>
        <v>7927.92</v>
      </c>
      <c r="I290" s="309">
        <f t="shared" si="92"/>
        <v>1.9370268285648273E-4</v>
      </c>
      <c r="J290" s="291"/>
      <c r="K290" s="291"/>
      <c r="L290" s="291"/>
      <c r="M290" s="291"/>
      <c r="N290" s="291"/>
      <c r="O290" s="291"/>
      <c r="P290" s="291"/>
      <c r="Q290" s="291"/>
      <c r="R290" s="306">
        <v>0</v>
      </c>
      <c r="S290" s="291">
        <f t="shared" si="99"/>
        <v>0</v>
      </c>
      <c r="T290" s="327">
        <f t="shared" si="90"/>
        <v>84</v>
      </c>
      <c r="U290" s="334">
        <f t="shared" si="91"/>
        <v>7927.92</v>
      </c>
    </row>
    <row r="291" spans="1:21" ht="30">
      <c r="A291" s="333" t="s">
        <v>3608</v>
      </c>
      <c r="B291" s="87" t="s">
        <v>1810</v>
      </c>
      <c r="C291" s="87" t="s">
        <v>2827</v>
      </c>
      <c r="D291" s="290" t="s">
        <v>2828</v>
      </c>
      <c r="E291" s="87" t="s">
        <v>48</v>
      </c>
      <c r="F291" s="284">
        <v>84</v>
      </c>
      <c r="G291" s="291">
        <v>378.84</v>
      </c>
      <c r="H291" s="291">
        <f t="shared" si="98"/>
        <v>31822.560000000001</v>
      </c>
      <c r="I291" s="309">
        <f t="shared" si="92"/>
        <v>7.7751985985749007E-4</v>
      </c>
      <c r="J291" s="291"/>
      <c r="K291" s="291"/>
      <c r="L291" s="291"/>
      <c r="M291" s="291"/>
      <c r="N291" s="291"/>
      <c r="O291" s="291"/>
      <c r="P291" s="291"/>
      <c r="Q291" s="291"/>
      <c r="R291" s="306">
        <v>0</v>
      </c>
      <c r="S291" s="291">
        <f t="shared" si="99"/>
        <v>0</v>
      </c>
      <c r="T291" s="327">
        <f t="shared" si="90"/>
        <v>84</v>
      </c>
      <c r="U291" s="334">
        <f t="shared" si="91"/>
        <v>31822.559999999998</v>
      </c>
    </row>
    <row r="292" spans="1:21" ht="30">
      <c r="A292" s="333" t="s">
        <v>3609</v>
      </c>
      <c r="B292" s="87" t="s">
        <v>133</v>
      </c>
      <c r="C292" s="87" t="s">
        <v>2829</v>
      </c>
      <c r="D292" s="290" t="s">
        <v>2830</v>
      </c>
      <c r="E292" s="87" t="s">
        <v>48</v>
      </c>
      <c r="F292" s="284">
        <v>15</v>
      </c>
      <c r="G292" s="291">
        <v>45.12</v>
      </c>
      <c r="H292" s="291">
        <f t="shared" si="98"/>
        <v>676.8</v>
      </c>
      <c r="I292" s="309">
        <f t="shared" si="92"/>
        <v>1.6536238478348355E-5</v>
      </c>
      <c r="J292" s="291"/>
      <c r="K292" s="291"/>
      <c r="L292" s="291"/>
      <c r="M292" s="291"/>
      <c r="N292" s="291"/>
      <c r="O292" s="291"/>
      <c r="P292" s="291"/>
      <c r="Q292" s="291"/>
      <c r="R292" s="306">
        <v>0</v>
      </c>
      <c r="S292" s="291">
        <f t="shared" si="99"/>
        <v>0</v>
      </c>
      <c r="T292" s="327">
        <f t="shared" si="90"/>
        <v>15</v>
      </c>
      <c r="U292" s="334">
        <f t="shared" si="91"/>
        <v>676.8</v>
      </c>
    </row>
    <row r="293" spans="1:21" ht="30">
      <c r="A293" s="333" t="s">
        <v>3610</v>
      </c>
      <c r="B293" s="87" t="s">
        <v>133</v>
      </c>
      <c r="C293" s="87" t="s">
        <v>2825</v>
      </c>
      <c r="D293" s="290" t="s">
        <v>2831</v>
      </c>
      <c r="E293" s="87" t="s">
        <v>48</v>
      </c>
      <c r="F293" s="284">
        <v>10</v>
      </c>
      <c r="G293" s="291">
        <v>94.38</v>
      </c>
      <c r="H293" s="291">
        <f t="shared" si="98"/>
        <v>943.8</v>
      </c>
      <c r="I293" s="309">
        <f t="shared" si="92"/>
        <v>2.3059843197200322E-5</v>
      </c>
      <c r="J293" s="291"/>
      <c r="K293" s="291"/>
      <c r="L293" s="291"/>
      <c r="M293" s="291"/>
      <c r="N293" s="291"/>
      <c r="O293" s="291"/>
      <c r="P293" s="291"/>
      <c r="Q293" s="291"/>
      <c r="R293" s="306">
        <v>0</v>
      </c>
      <c r="S293" s="291">
        <f t="shared" si="99"/>
        <v>0</v>
      </c>
      <c r="T293" s="327">
        <f t="shared" si="90"/>
        <v>10</v>
      </c>
      <c r="U293" s="334">
        <f t="shared" si="91"/>
        <v>943.8</v>
      </c>
    </row>
    <row r="294" spans="1:21" ht="45">
      <c r="A294" s="333" t="s">
        <v>3611</v>
      </c>
      <c r="B294" s="87" t="s">
        <v>1810</v>
      </c>
      <c r="C294" s="87" t="s">
        <v>2832</v>
      </c>
      <c r="D294" s="292" t="s">
        <v>2833</v>
      </c>
      <c r="E294" s="87" t="s">
        <v>48</v>
      </c>
      <c r="F294" s="284">
        <v>10</v>
      </c>
      <c r="G294" s="291">
        <v>1005.44</v>
      </c>
      <c r="H294" s="291">
        <f t="shared" si="98"/>
        <v>10054.4</v>
      </c>
      <c r="I294" s="309">
        <f t="shared" si="92"/>
        <v>2.4565891867125549E-4</v>
      </c>
      <c r="J294" s="291"/>
      <c r="K294" s="291"/>
      <c r="L294" s="291"/>
      <c r="M294" s="291"/>
      <c r="N294" s="291"/>
      <c r="O294" s="291"/>
      <c r="P294" s="291"/>
      <c r="Q294" s="291"/>
      <c r="R294" s="306">
        <v>0</v>
      </c>
      <c r="S294" s="291">
        <f t="shared" si="99"/>
        <v>0</v>
      </c>
      <c r="T294" s="327">
        <f t="shared" si="90"/>
        <v>10</v>
      </c>
      <c r="U294" s="334">
        <f t="shared" si="91"/>
        <v>10054.400000000001</v>
      </c>
    </row>
    <row r="295" spans="1:21" ht="30">
      <c r="A295" s="333" t="s">
        <v>3612</v>
      </c>
      <c r="B295" s="87" t="s">
        <v>133</v>
      </c>
      <c r="C295" s="87" t="s">
        <v>2834</v>
      </c>
      <c r="D295" s="290" t="s">
        <v>2835</v>
      </c>
      <c r="E295" s="87" t="s">
        <v>48</v>
      </c>
      <c r="F295" s="284">
        <v>4</v>
      </c>
      <c r="G295" s="291">
        <v>1089.74</v>
      </c>
      <c r="H295" s="291">
        <f t="shared" si="98"/>
        <v>4358.96</v>
      </c>
      <c r="I295" s="309">
        <f t="shared" si="92"/>
        <v>1.0650236713590625E-4</v>
      </c>
      <c r="J295" s="291"/>
      <c r="K295" s="291"/>
      <c r="L295" s="291"/>
      <c r="M295" s="291"/>
      <c r="N295" s="291"/>
      <c r="O295" s="291"/>
      <c r="P295" s="291"/>
      <c r="Q295" s="291"/>
      <c r="R295" s="306">
        <v>0</v>
      </c>
      <c r="S295" s="291">
        <f t="shared" si="99"/>
        <v>0</v>
      </c>
      <c r="T295" s="327">
        <f t="shared" si="90"/>
        <v>4</v>
      </c>
      <c r="U295" s="334">
        <f t="shared" si="91"/>
        <v>4358.96</v>
      </c>
    </row>
    <row r="296" spans="1:21" ht="30">
      <c r="A296" s="333" t="s">
        <v>3613</v>
      </c>
      <c r="B296" s="87" t="s">
        <v>1810</v>
      </c>
      <c r="C296" s="87" t="s">
        <v>2836</v>
      </c>
      <c r="D296" s="290" t="s">
        <v>2837</v>
      </c>
      <c r="E296" s="87" t="s">
        <v>48</v>
      </c>
      <c r="F296" s="284">
        <v>4</v>
      </c>
      <c r="G296" s="291">
        <v>5371.39</v>
      </c>
      <c r="H296" s="291">
        <f t="shared" si="98"/>
        <v>21485.56</v>
      </c>
      <c r="I296" s="309">
        <f t="shared" si="92"/>
        <v>5.2495618203437101E-4</v>
      </c>
      <c r="J296" s="291"/>
      <c r="K296" s="291"/>
      <c r="L296" s="291"/>
      <c r="M296" s="291"/>
      <c r="N296" s="291"/>
      <c r="O296" s="291"/>
      <c r="P296" s="291"/>
      <c r="Q296" s="291"/>
      <c r="R296" s="306">
        <v>0</v>
      </c>
      <c r="S296" s="291">
        <f t="shared" si="99"/>
        <v>0</v>
      </c>
      <c r="T296" s="327">
        <f t="shared" si="90"/>
        <v>4</v>
      </c>
      <c r="U296" s="334">
        <f t="shared" si="91"/>
        <v>21485.56</v>
      </c>
    </row>
    <row r="297" spans="1:21" ht="45">
      <c r="A297" s="333" t="s">
        <v>3614</v>
      </c>
      <c r="B297" s="87" t="s">
        <v>133</v>
      </c>
      <c r="C297" s="87">
        <v>103017</v>
      </c>
      <c r="D297" s="292" t="s">
        <v>2838</v>
      </c>
      <c r="E297" s="87" t="s">
        <v>48</v>
      </c>
      <c r="F297" s="284">
        <v>2</v>
      </c>
      <c r="G297" s="291">
        <v>839.66</v>
      </c>
      <c r="H297" s="291">
        <f t="shared" si="98"/>
        <v>1679.32</v>
      </c>
      <c r="I297" s="309">
        <f t="shared" si="92"/>
        <v>4.1030786054166607E-5</v>
      </c>
      <c r="J297" s="291"/>
      <c r="K297" s="291"/>
      <c r="L297" s="291"/>
      <c r="M297" s="291"/>
      <c r="N297" s="291"/>
      <c r="O297" s="291"/>
      <c r="P297" s="291"/>
      <c r="Q297" s="291"/>
      <c r="R297" s="306">
        <v>0</v>
      </c>
      <c r="S297" s="291">
        <f t="shared" si="99"/>
        <v>0</v>
      </c>
      <c r="T297" s="327">
        <f t="shared" si="90"/>
        <v>2</v>
      </c>
      <c r="U297" s="334">
        <f t="shared" si="91"/>
        <v>1679.32</v>
      </c>
    </row>
    <row r="298" spans="1:21">
      <c r="A298" s="336"/>
      <c r="B298" s="293"/>
      <c r="C298" s="293"/>
      <c r="D298" s="294" t="s">
        <v>2593</v>
      </c>
      <c r="E298" s="293"/>
      <c r="F298" s="316"/>
      <c r="G298" s="295">
        <v>0</v>
      </c>
      <c r="H298" s="296">
        <f>SUM(H283:H297)</f>
        <v>141413.78000000003</v>
      </c>
      <c r="I298" s="310">
        <f t="shared" si="92"/>
        <v>3.4551595599951091E-3</v>
      </c>
      <c r="J298" s="296"/>
      <c r="K298" s="296"/>
      <c r="L298" s="296"/>
      <c r="M298" s="296"/>
      <c r="N298" s="296"/>
      <c r="O298" s="296"/>
      <c r="P298" s="296"/>
      <c r="Q298" s="296"/>
      <c r="R298" s="307">
        <v>0</v>
      </c>
      <c r="S298" s="296">
        <f>SUM(S283:S297)</f>
        <v>0</v>
      </c>
      <c r="T298" s="329"/>
      <c r="U298" s="337">
        <f t="shared" ref="U298" si="100">SUM(U283:U297)</f>
        <v>141413.78000000003</v>
      </c>
    </row>
    <row r="299" spans="1:21">
      <c r="A299" s="331" t="s">
        <v>3600</v>
      </c>
      <c r="B299" s="351" t="s">
        <v>2839</v>
      </c>
      <c r="C299" s="351" t="s">
        <v>2839</v>
      </c>
      <c r="D299" s="351" t="s">
        <v>2839</v>
      </c>
      <c r="E299" s="351" t="s">
        <v>2839</v>
      </c>
      <c r="F299" s="351" t="s">
        <v>2839</v>
      </c>
      <c r="G299" s="288"/>
      <c r="H299" s="288"/>
      <c r="I299" s="311"/>
      <c r="J299" s="288"/>
      <c r="K299" s="288"/>
      <c r="L299" s="288"/>
      <c r="M299" s="288"/>
      <c r="N299" s="288"/>
      <c r="O299" s="288"/>
      <c r="P299" s="288"/>
      <c r="Q299" s="288"/>
      <c r="R299" s="305"/>
      <c r="S299" s="288"/>
      <c r="T299" s="326"/>
      <c r="U299" s="338"/>
    </row>
    <row r="300" spans="1:21" ht="30">
      <c r="A300" s="333" t="s">
        <v>3601</v>
      </c>
      <c r="B300" s="87" t="s">
        <v>1810</v>
      </c>
      <c r="C300" s="87" t="s">
        <v>2840</v>
      </c>
      <c r="D300" s="290" t="s">
        <v>465</v>
      </c>
      <c r="E300" s="87" t="s">
        <v>107</v>
      </c>
      <c r="F300" s="284">
        <v>2526.4499999999998</v>
      </c>
      <c r="G300" s="291">
        <v>16.62</v>
      </c>
      <c r="H300" s="291">
        <f>ROUND((G300*F300),2)</f>
        <v>41989.599999999999</v>
      </c>
      <c r="I300" s="309">
        <f t="shared" si="92"/>
        <v>1.0259309089989009E-3</v>
      </c>
      <c r="J300" s="291"/>
      <c r="K300" s="291"/>
      <c r="L300" s="291"/>
      <c r="M300" s="291"/>
      <c r="N300" s="291"/>
      <c r="O300" s="291"/>
      <c r="P300" s="291"/>
      <c r="Q300" s="291"/>
      <c r="R300" s="306">
        <v>0</v>
      </c>
      <c r="S300" s="291">
        <f t="shared" ref="S300:S302" si="101">ROUND((R300*P300),2)</f>
        <v>0</v>
      </c>
      <c r="T300" s="327">
        <f t="shared" si="90"/>
        <v>2526.4499999999998</v>
      </c>
      <c r="U300" s="334">
        <f t="shared" si="91"/>
        <v>41989.599000000002</v>
      </c>
    </row>
    <row r="301" spans="1:21" ht="30">
      <c r="A301" s="333" t="s">
        <v>2812</v>
      </c>
      <c r="B301" s="87" t="s">
        <v>1810</v>
      </c>
      <c r="C301" s="87" t="s">
        <v>2841</v>
      </c>
      <c r="D301" s="290" t="s">
        <v>468</v>
      </c>
      <c r="E301" s="87" t="s">
        <v>107</v>
      </c>
      <c r="F301" s="284">
        <v>53</v>
      </c>
      <c r="G301" s="291">
        <v>24.93</v>
      </c>
      <c r="H301" s="291">
        <f>ROUND((G301*F301),2)</f>
        <v>1321.29</v>
      </c>
      <c r="I301" s="309">
        <f t="shared" si="92"/>
        <v>3.22830474867862E-5</v>
      </c>
      <c r="J301" s="291"/>
      <c r="K301" s="291"/>
      <c r="L301" s="291"/>
      <c r="M301" s="291"/>
      <c r="N301" s="291"/>
      <c r="O301" s="291"/>
      <c r="P301" s="291"/>
      <c r="Q301" s="291"/>
      <c r="R301" s="306">
        <v>0</v>
      </c>
      <c r="S301" s="291">
        <f t="shared" si="101"/>
        <v>0</v>
      </c>
      <c r="T301" s="327">
        <f t="shared" si="90"/>
        <v>53</v>
      </c>
      <c r="U301" s="334">
        <f t="shared" si="91"/>
        <v>1321.29</v>
      </c>
    </row>
    <row r="302" spans="1:21" ht="30">
      <c r="A302" s="333" t="s">
        <v>3602</v>
      </c>
      <c r="B302" s="87" t="s">
        <v>1810</v>
      </c>
      <c r="C302" s="87" t="s">
        <v>2842</v>
      </c>
      <c r="D302" s="290" t="s">
        <v>1197</v>
      </c>
      <c r="E302" s="87" t="s">
        <v>107</v>
      </c>
      <c r="F302" s="284">
        <v>77</v>
      </c>
      <c r="G302" s="291">
        <v>37.54</v>
      </c>
      <c r="H302" s="291">
        <f>ROUND((G302*F302),2)</f>
        <v>2890.58</v>
      </c>
      <c r="I302" s="309">
        <f t="shared" si="92"/>
        <v>7.0625473139397448E-5</v>
      </c>
      <c r="J302" s="291"/>
      <c r="K302" s="291"/>
      <c r="L302" s="291"/>
      <c r="M302" s="291"/>
      <c r="N302" s="291"/>
      <c r="O302" s="291"/>
      <c r="P302" s="291"/>
      <c r="Q302" s="291"/>
      <c r="R302" s="306">
        <v>0</v>
      </c>
      <c r="S302" s="291">
        <f t="shared" si="101"/>
        <v>0</v>
      </c>
      <c r="T302" s="327">
        <f t="shared" si="90"/>
        <v>77</v>
      </c>
      <c r="U302" s="334">
        <f t="shared" si="91"/>
        <v>2890.58</v>
      </c>
    </row>
    <row r="303" spans="1:21">
      <c r="A303" s="336"/>
      <c r="B303" s="293"/>
      <c r="C303" s="293"/>
      <c r="D303" s="294" t="s">
        <v>2593</v>
      </c>
      <c r="E303" s="293"/>
      <c r="F303" s="316"/>
      <c r="G303" s="295">
        <v>0</v>
      </c>
      <c r="H303" s="296">
        <f>SUM(H300:H302)</f>
        <v>46201.47</v>
      </c>
      <c r="I303" s="310">
        <f t="shared" si="92"/>
        <v>1.1288394296250846E-3</v>
      </c>
      <c r="J303" s="296"/>
      <c r="K303" s="296"/>
      <c r="L303" s="296"/>
      <c r="M303" s="296"/>
      <c r="N303" s="296"/>
      <c r="O303" s="296"/>
      <c r="P303" s="296"/>
      <c r="Q303" s="296"/>
      <c r="R303" s="307">
        <v>0</v>
      </c>
      <c r="S303" s="296">
        <f>SUM(S300:S302)</f>
        <v>0</v>
      </c>
      <c r="T303" s="329"/>
      <c r="U303" s="337">
        <f t="shared" ref="U303" si="102">SUM(U300:U302)</f>
        <v>46201.469000000005</v>
      </c>
    </row>
    <row r="304" spans="1:21">
      <c r="A304" s="331" t="s">
        <v>3615</v>
      </c>
      <c r="B304" s="351" t="s">
        <v>2843</v>
      </c>
      <c r="C304" s="351" t="s">
        <v>2843</v>
      </c>
      <c r="D304" s="351" t="s">
        <v>2843</v>
      </c>
      <c r="E304" s="351" t="s">
        <v>2843</v>
      </c>
      <c r="F304" s="351" t="s">
        <v>2843</v>
      </c>
      <c r="G304" s="288"/>
      <c r="H304" s="288"/>
      <c r="I304" s="311"/>
      <c r="J304" s="288"/>
      <c r="K304" s="288"/>
      <c r="L304" s="288"/>
      <c r="M304" s="288"/>
      <c r="N304" s="288"/>
      <c r="O304" s="288"/>
      <c r="P304" s="288"/>
      <c r="Q304" s="288"/>
      <c r="R304" s="305"/>
      <c r="S304" s="288"/>
      <c r="T304" s="326"/>
      <c r="U304" s="338"/>
    </row>
    <row r="305" spans="1:21" ht="45">
      <c r="A305" s="333" t="s">
        <v>3616</v>
      </c>
      <c r="B305" s="87" t="s">
        <v>133</v>
      </c>
      <c r="C305" s="87" t="s">
        <v>2844</v>
      </c>
      <c r="D305" s="292" t="s">
        <v>2845</v>
      </c>
      <c r="E305" s="87" t="s">
        <v>1549</v>
      </c>
      <c r="F305" s="284">
        <v>25</v>
      </c>
      <c r="G305" s="291">
        <v>611.41</v>
      </c>
      <c r="H305" s="291">
        <f>ROUND((G305*F305),2)</f>
        <v>15285.25</v>
      </c>
      <c r="I305" s="309">
        <f t="shared" si="92"/>
        <v>3.7346415366603752E-4</v>
      </c>
      <c r="J305" s="291"/>
      <c r="K305" s="291"/>
      <c r="L305" s="291"/>
      <c r="M305" s="291"/>
      <c r="N305" s="291"/>
      <c r="O305" s="291"/>
      <c r="P305" s="291"/>
      <c r="Q305" s="291"/>
      <c r="R305" s="306">
        <v>0</v>
      </c>
      <c r="S305" s="291">
        <f t="shared" ref="S305:S307" si="103">ROUND((R305*P305),2)</f>
        <v>0</v>
      </c>
      <c r="T305" s="327">
        <f t="shared" si="90"/>
        <v>25</v>
      </c>
      <c r="U305" s="334">
        <f t="shared" si="91"/>
        <v>15285.25</v>
      </c>
    </row>
    <row r="306" spans="1:21" ht="30">
      <c r="A306" s="333" t="s">
        <v>3617</v>
      </c>
      <c r="B306" s="87" t="s">
        <v>1810</v>
      </c>
      <c r="C306" s="87" t="s">
        <v>2836</v>
      </c>
      <c r="D306" s="290" t="s">
        <v>2837</v>
      </c>
      <c r="E306" s="87" t="s">
        <v>48</v>
      </c>
      <c r="F306" s="284">
        <v>2</v>
      </c>
      <c r="G306" s="291">
        <v>5371.39</v>
      </c>
      <c r="H306" s="291">
        <f>ROUND((G306*F306),2)</f>
        <v>10742.78</v>
      </c>
      <c r="I306" s="309">
        <f t="shared" si="92"/>
        <v>2.624780910171855E-4</v>
      </c>
      <c r="J306" s="291"/>
      <c r="K306" s="291"/>
      <c r="L306" s="291"/>
      <c r="M306" s="291"/>
      <c r="N306" s="291"/>
      <c r="O306" s="291"/>
      <c r="P306" s="291"/>
      <c r="Q306" s="291"/>
      <c r="R306" s="306">
        <v>0</v>
      </c>
      <c r="S306" s="291">
        <f t="shared" si="103"/>
        <v>0</v>
      </c>
      <c r="T306" s="327">
        <f t="shared" si="90"/>
        <v>2</v>
      </c>
      <c r="U306" s="334">
        <f t="shared" si="91"/>
        <v>10742.78</v>
      </c>
    </row>
    <row r="307" spans="1:21" ht="75.75" customHeight="1">
      <c r="A307" s="333" t="s">
        <v>3618</v>
      </c>
      <c r="B307" s="87" t="s">
        <v>1810</v>
      </c>
      <c r="C307" s="87">
        <v>141114</v>
      </c>
      <c r="D307" s="292" t="s">
        <v>529</v>
      </c>
      <c r="E307" s="87" t="s">
        <v>48</v>
      </c>
      <c r="F307" s="284">
        <v>1</v>
      </c>
      <c r="G307" s="291">
        <v>1034.1199999999999</v>
      </c>
      <c r="H307" s="291">
        <f>ROUND((G307*F307),2)</f>
        <v>1034.1199999999999</v>
      </c>
      <c r="I307" s="309">
        <f t="shared" si="92"/>
        <v>2.5266629632431443E-5</v>
      </c>
      <c r="J307" s="291"/>
      <c r="K307" s="291"/>
      <c r="L307" s="291"/>
      <c r="M307" s="291"/>
      <c r="N307" s="291"/>
      <c r="O307" s="291"/>
      <c r="P307" s="291"/>
      <c r="Q307" s="291"/>
      <c r="R307" s="306">
        <v>0</v>
      </c>
      <c r="S307" s="291">
        <f t="shared" si="103"/>
        <v>0</v>
      </c>
      <c r="T307" s="327">
        <f t="shared" si="90"/>
        <v>1</v>
      </c>
      <c r="U307" s="334">
        <f t="shared" si="91"/>
        <v>1034.1199999999999</v>
      </c>
    </row>
    <row r="308" spans="1:21">
      <c r="A308" s="336"/>
      <c r="B308" s="293"/>
      <c r="C308" s="293"/>
      <c r="D308" s="294" t="s">
        <v>2593</v>
      </c>
      <c r="E308" s="293"/>
      <c r="F308" s="316"/>
      <c r="G308" s="295">
        <v>0</v>
      </c>
      <c r="H308" s="296">
        <f>SUM(H305:H307)</f>
        <v>27062.149999999998</v>
      </c>
      <c r="I308" s="310">
        <f t="shared" si="92"/>
        <v>6.6120887431565442E-4</v>
      </c>
      <c r="J308" s="296"/>
      <c r="K308" s="296"/>
      <c r="L308" s="296"/>
      <c r="M308" s="296"/>
      <c r="N308" s="296"/>
      <c r="O308" s="296"/>
      <c r="P308" s="296"/>
      <c r="Q308" s="296"/>
      <c r="R308" s="307">
        <v>0</v>
      </c>
      <c r="S308" s="296">
        <f>SUM(S305:S307)</f>
        <v>0</v>
      </c>
      <c r="T308" s="329"/>
      <c r="U308" s="337">
        <f t="shared" ref="U308" si="104">SUM(U305:U307)</f>
        <v>27062.149999999998</v>
      </c>
    </row>
    <row r="309" spans="1:21">
      <c r="A309" s="331">
        <v>15</v>
      </c>
      <c r="B309" s="351" t="s">
        <v>653</v>
      </c>
      <c r="C309" s="351" t="s">
        <v>653</v>
      </c>
      <c r="D309" s="351" t="s">
        <v>653</v>
      </c>
      <c r="E309" s="351" t="s">
        <v>653</v>
      </c>
      <c r="F309" s="351" t="s">
        <v>653</v>
      </c>
      <c r="G309" s="288"/>
      <c r="H309" s="288"/>
      <c r="I309" s="311"/>
      <c r="J309" s="288"/>
      <c r="K309" s="288"/>
      <c r="L309" s="288"/>
      <c r="M309" s="288"/>
      <c r="N309" s="288"/>
      <c r="O309" s="288"/>
      <c r="P309" s="288"/>
      <c r="Q309" s="288"/>
      <c r="R309" s="305"/>
      <c r="S309" s="288"/>
      <c r="T309" s="326"/>
      <c r="U309" s="338"/>
    </row>
    <row r="310" spans="1:21">
      <c r="A310" s="331" t="s">
        <v>3619</v>
      </c>
      <c r="B310" s="351" t="s">
        <v>2846</v>
      </c>
      <c r="C310" s="351" t="s">
        <v>2846</v>
      </c>
      <c r="D310" s="351" t="s">
        <v>2846</v>
      </c>
      <c r="E310" s="351" t="s">
        <v>2846</v>
      </c>
      <c r="F310" s="351" t="s">
        <v>2846</v>
      </c>
      <c r="G310" s="288"/>
      <c r="H310" s="288"/>
      <c r="I310" s="311"/>
      <c r="J310" s="288"/>
      <c r="K310" s="288"/>
      <c r="L310" s="288"/>
      <c r="M310" s="288"/>
      <c r="N310" s="288"/>
      <c r="O310" s="288"/>
      <c r="P310" s="288"/>
      <c r="Q310" s="288"/>
      <c r="R310" s="305"/>
      <c r="S310" s="288"/>
      <c r="T310" s="326"/>
      <c r="U310" s="338"/>
    </row>
    <row r="311" spans="1:21" ht="30">
      <c r="A311" s="333" t="s">
        <v>3620</v>
      </c>
      <c r="B311" s="87" t="s">
        <v>1810</v>
      </c>
      <c r="C311" s="87" t="s">
        <v>2847</v>
      </c>
      <c r="D311" s="290" t="s">
        <v>1333</v>
      </c>
      <c r="E311" s="87" t="s">
        <v>48</v>
      </c>
      <c r="F311" s="284">
        <v>2</v>
      </c>
      <c r="G311" s="291">
        <v>2499.63</v>
      </c>
      <c r="H311" s="291">
        <f t="shared" ref="H311:H340" si="105">ROUND((G311*F311),2)</f>
        <v>4999.26</v>
      </c>
      <c r="I311" s="309">
        <f t="shared" si="92"/>
        <v>1.2214680197291343E-4</v>
      </c>
      <c r="J311" s="291"/>
      <c r="K311" s="291"/>
      <c r="L311" s="291"/>
      <c r="M311" s="291"/>
      <c r="N311" s="291"/>
      <c r="O311" s="291"/>
      <c r="P311" s="291"/>
      <c r="Q311" s="291"/>
      <c r="R311" s="306">
        <v>0</v>
      </c>
      <c r="S311" s="291">
        <f t="shared" ref="S311:S340" si="106">ROUND((R311*P311),2)</f>
        <v>0</v>
      </c>
      <c r="T311" s="327">
        <f t="shared" si="90"/>
        <v>2</v>
      </c>
      <c r="U311" s="334">
        <f t="shared" si="91"/>
        <v>4999.26</v>
      </c>
    </row>
    <row r="312" spans="1:21" ht="75">
      <c r="A312" s="333" t="s">
        <v>3621</v>
      </c>
      <c r="B312" s="87" t="s">
        <v>1810</v>
      </c>
      <c r="C312" s="87" t="s">
        <v>2848</v>
      </c>
      <c r="D312" s="290" t="s">
        <v>2849</v>
      </c>
      <c r="E312" s="87" t="s">
        <v>48</v>
      </c>
      <c r="F312" s="284">
        <v>12</v>
      </c>
      <c r="G312" s="291">
        <v>171.14</v>
      </c>
      <c r="H312" s="291">
        <f t="shared" si="105"/>
        <v>2053.6799999999998</v>
      </c>
      <c r="I312" s="309">
        <f t="shared" si="92"/>
        <v>5.0177515127385413E-5</v>
      </c>
      <c r="J312" s="291"/>
      <c r="K312" s="291"/>
      <c r="L312" s="291"/>
      <c r="M312" s="291"/>
      <c r="N312" s="291"/>
      <c r="O312" s="291"/>
      <c r="P312" s="291"/>
      <c r="Q312" s="291"/>
      <c r="R312" s="306">
        <v>0</v>
      </c>
      <c r="S312" s="291">
        <f t="shared" si="106"/>
        <v>0</v>
      </c>
      <c r="T312" s="327">
        <f t="shared" si="90"/>
        <v>12</v>
      </c>
      <c r="U312" s="334">
        <f t="shared" si="91"/>
        <v>2053.6799999999998</v>
      </c>
    </row>
    <row r="313" spans="1:21" ht="75">
      <c r="A313" s="333" t="s">
        <v>3622</v>
      </c>
      <c r="B313" s="87" t="s">
        <v>1810</v>
      </c>
      <c r="C313" s="87" t="s">
        <v>2850</v>
      </c>
      <c r="D313" s="290" t="s">
        <v>2851</v>
      </c>
      <c r="E313" s="87" t="s">
        <v>48</v>
      </c>
      <c r="F313" s="284">
        <v>7</v>
      </c>
      <c r="G313" s="291">
        <v>389.19</v>
      </c>
      <c r="H313" s="291">
        <f t="shared" si="105"/>
        <v>2724.33</v>
      </c>
      <c r="I313" s="309">
        <f t="shared" si="92"/>
        <v>6.6563490800411901E-5</v>
      </c>
      <c r="J313" s="291"/>
      <c r="K313" s="291"/>
      <c r="L313" s="291"/>
      <c r="M313" s="291"/>
      <c r="N313" s="291"/>
      <c r="O313" s="291"/>
      <c r="P313" s="291"/>
      <c r="Q313" s="291"/>
      <c r="R313" s="306">
        <v>0</v>
      </c>
      <c r="S313" s="291">
        <f t="shared" si="106"/>
        <v>0</v>
      </c>
      <c r="T313" s="327">
        <f t="shared" si="90"/>
        <v>7</v>
      </c>
      <c r="U313" s="334">
        <f t="shared" si="91"/>
        <v>2724.33</v>
      </c>
    </row>
    <row r="314" spans="1:21">
      <c r="A314" s="333" t="s">
        <v>3623</v>
      </c>
      <c r="B314" s="87" t="s">
        <v>1810</v>
      </c>
      <c r="C314" s="87" t="s">
        <v>2852</v>
      </c>
      <c r="D314" s="290" t="s">
        <v>2853</v>
      </c>
      <c r="E314" s="87" t="s">
        <v>48</v>
      </c>
      <c r="F314" s="284">
        <v>89</v>
      </c>
      <c r="G314" s="291">
        <v>14.98</v>
      </c>
      <c r="H314" s="291">
        <f t="shared" si="105"/>
        <v>1333.22</v>
      </c>
      <c r="I314" s="309">
        <f t="shared" si="92"/>
        <v>3.2574532896134152E-5</v>
      </c>
      <c r="J314" s="291"/>
      <c r="K314" s="291"/>
      <c r="L314" s="291"/>
      <c r="M314" s="291"/>
      <c r="N314" s="291"/>
      <c r="O314" s="291"/>
      <c r="P314" s="291"/>
      <c r="Q314" s="291"/>
      <c r="R314" s="306">
        <v>0</v>
      </c>
      <c r="S314" s="291">
        <f t="shared" si="106"/>
        <v>0</v>
      </c>
      <c r="T314" s="327">
        <f t="shared" si="90"/>
        <v>89</v>
      </c>
      <c r="U314" s="334">
        <f t="shared" si="91"/>
        <v>1333.22</v>
      </c>
    </row>
    <row r="315" spans="1:21" ht="30">
      <c r="A315" s="333" t="s">
        <v>3624</v>
      </c>
      <c r="B315" s="87" t="s">
        <v>1810</v>
      </c>
      <c r="C315" s="87" t="s">
        <v>2854</v>
      </c>
      <c r="D315" s="290" t="s">
        <v>2855</v>
      </c>
      <c r="E315" s="87" t="s">
        <v>48</v>
      </c>
      <c r="F315" s="284">
        <v>480</v>
      </c>
      <c r="G315" s="291">
        <v>26.05</v>
      </c>
      <c r="H315" s="291">
        <f t="shared" si="105"/>
        <v>12504</v>
      </c>
      <c r="I315" s="309">
        <f t="shared" si="92"/>
        <v>3.0550993784466291E-4</v>
      </c>
      <c r="J315" s="291"/>
      <c r="K315" s="291"/>
      <c r="L315" s="291"/>
      <c r="M315" s="291"/>
      <c r="N315" s="291"/>
      <c r="O315" s="291"/>
      <c r="P315" s="291"/>
      <c r="Q315" s="291"/>
      <c r="R315" s="306">
        <v>0</v>
      </c>
      <c r="S315" s="291">
        <f t="shared" si="106"/>
        <v>0</v>
      </c>
      <c r="T315" s="327">
        <f t="shared" si="90"/>
        <v>480</v>
      </c>
      <c r="U315" s="334">
        <f t="shared" si="91"/>
        <v>12504</v>
      </c>
    </row>
    <row r="316" spans="1:21" ht="30">
      <c r="A316" s="333" t="s">
        <v>3625</v>
      </c>
      <c r="B316" s="87" t="s">
        <v>1810</v>
      </c>
      <c r="C316" s="87" t="s">
        <v>2856</v>
      </c>
      <c r="D316" s="290" t="s">
        <v>1106</v>
      </c>
      <c r="E316" s="87" t="s">
        <v>48</v>
      </c>
      <c r="F316" s="284">
        <v>15</v>
      </c>
      <c r="G316" s="291">
        <v>698.62</v>
      </c>
      <c r="H316" s="291">
        <f t="shared" si="105"/>
        <v>10479.299999999999</v>
      </c>
      <c r="I316" s="309">
        <f t="shared" si="92"/>
        <v>2.5604049037552591E-4</v>
      </c>
      <c r="J316" s="291"/>
      <c r="K316" s="291"/>
      <c r="L316" s="291"/>
      <c r="M316" s="291"/>
      <c r="N316" s="291"/>
      <c r="O316" s="291"/>
      <c r="P316" s="291"/>
      <c r="Q316" s="291"/>
      <c r="R316" s="306">
        <v>0</v>
      </c>
      <c r="S316" s="291">
        <f t="shared" si="106"/>
        <v>0</v>
      </c>
      <c r="T316" s="327">
        <f t="shared" si="90"/>
        <v>15</v>
      </c>
      <c r="U316" s="334">
        <f t="shared" si="91"/>
        <v>10479.299999999999</v>
      </c>
    </row>
    <row r="317" spans="1:21" ht="30">
      <c r="A317" s="333" t="s">
        <v>3626</v>
      </c>
      <c r="B317" s="87" t="s">
        <v>1810</v>
      </c>
      <c r="C317" s="87" t="s">
        <v>2857</v>
      </c>
      <c r="D317" s="290" t="s">
        <v>2858</v>
      </c>
      <c r="E317" s="87" t="s">
        <v>48</v>
      </c>
      <c r="F317" s="284">
        <v>10</v>
      </c>
      <c r="G317" s="291">
        <v>2866.51</v>
      </c>
      <c r="H317" s="291">
        <f t="shared" si="105"/>
        <v>28665.1</v>
      </c>
      <c r="I317" s="309">
        <f t="shared" si="92"/>
        <v>7.0037371395641765E-4</v>
      </c>
      <c r="J317" s="291"/>
      <c r="K317" s="291"/>
      <c r="L317" s="291"/>
      <c r="M317" s="291"/>
      <c r="N317" s="291"/>
      <c r="O317" s="291"/>
      <c r="P317" s="291"/>
      <c r="Q317" s="291"/>
      <c r="R317" s="306">
        <v>0</v>
      </c>
      <c r="S317" s="291">
        <f t="shared" si="106"/>
        <v>0</v>
      </c>
      <c r="T317" s="327">
        <f t="shared" si="90"/>
        <v>10</v>
      </c>
      <c r="U317" s="334">
        <f t="shared" si="91"/>
        <v>28665.100000000002</v>
      </c>
    </row>
    <row r="318" spans="1:21" ht="30">
      <c r="A318" s="333" t="s">
        <v>3627</v>
      </c>
      <c r="B318" s="87" t="s">
        <v>1810</v>
      </c>
      <c r="C318" s="87" t="s">
        <v>2859</v>
      </c>
      <c r="D318" s="290" t="s">
        <v>1292</v>
      </c>
      <c r="E318" s="87" t="s">
        <v>48</v>
      </c>
      <c r="F318" s="284">
        <v>4</v>
      </c>
      <c r="G318" s="291">
        <v>140.68</v>
      </c>
      <c r="H318" s="291">
        <f t="shared" si="105"/>
        <v>562.72</v>
      </c>
      <c r="I318" s="309">
        <f t="shared" si="92"/>
        <v>1.3748924522068835E-5</v>
      </c>
      <c r="J318" s="291"/>
      <c r="K318" s="291"/>
      <c r="L318" s="291"/>
      <c r="M318" s="291"/>
      <c r="N318" s="291"/>
      <c r="O318" s="291"/>
      <c r="P318" s="291"/>
      <c r="Q318" s="291"/>
      <c r="R318" s="306">
        <v>0</v>
      </c>
      <c r="S318" s="291">
        <f t="shared" si="106"/>
        <v>0</v>
      </c>
      <c r="T318" s="327">
        <f t="shared" si="90"/>
        <v>4</v>
      </c>
      <c r="U318" s="334">
        <f t="shared" si="91"/>
        <v>562.72</v>
      </c>
    </row>
    <row r="319" spans="1:21" ht="30">
      <c r="A319" s="333" t="s">
        <v>3628</v>
      </c>
      <c r="B319" s="87" t="s">
        <v>1810</v>
      </c>
      <c r="C319" s="87" t="s">
        <v>2860</v>
      </c>
      <c r="D319" s="290" t="s">
        <v>1336</v>
      </c>
      <c r="E319" s="87" t="s">
        <v>48</v>
      </c>
      <c r="F319" s="284">
        <v>10</v>
      </c>
      <c r="G319" s="291">
        <v>44.22</v>
      </c>
      <c r="H319" s="291">
        <f t="shared" si="105"/>
        <v>442.2</v>
      </c>
      <c r="I319" s="309">
        <f t="shared" si="92"/>
        <v>1.0804262197289661E-5</v>
      </c>
      <c r="J319" s="291"/>
      <c r="K319" s="291"/>
      <c r="L319" s="291"/>
      <c r="M319" s="291"/>
      <c r="N319" s="291"/>
      <c r="O319" s="291"/>
      <c r="P319" s="291"/>
      <c r="Q319" s="291"/>
      <c r="R319" s="306">
        <v>0</v>
      </c>
      <c r="S319" s="291">
        <f t="shared" si="106"/>
        <v>0</v>
      </c>
      <c r="T319" s="327">
        <f t="shared" si="90"/>
        <v>10</v>
      </c>
      <c r="U319" s="334">
        <f t="shared" si="91"/>
        <v>442.2</v>
      </c>
    </row>
    <row r="320" spans="1:21" ht="30">
      <c r="A320" s="333" t="s">
        <v>3629</v>
      </c>
      <c r="B320" s="87" t="s">
        <v>1810</v>
      </c>
      <c r="C320" s="87" t="s">
        <v>2861</v>
      </c>
      <c r="D320" s="290" t="s">
        <v>1352</v>
      </c>
      <c r="E320" s="87" t="s">
        <v>48</v>
      </c>
      <c r="F320" s="284">
        <v>2</v>
      </c>
      <c r="G320" s="291">
        <v>342.77</v>
      </c>
      <c r="H320" s="291">
        <f t="shared" si="105"/>
        <v>685.54</v>
      </c>
      <c r="I320" s="309">
        <f t="shared" si="92"/>
        <v>1.6749782692740737E-5</v>
      </c>
      <c r="J320" s="291"/>
      <c r="K320" s="291"/>
      <c r="L320" s="291"/>
      <c r="M320" s="291"/>
      <c r="N320" s="291"/>
      <c r="O320" s="291"/>
      <c r="P320" s="291"/>
      <c r="Q320" s="291"/>
      <c r="R320" s="306">
        <v>0</v>
      </c>
      <c r="S320" s="291">
        <f t="shared" si="106"/>
        <v>0</v>
      </c>
      <c r="T320" s="327">
        <f t="shared" si="90"/>
        <v>2</v>
      </c>
      <c r="U320" s="334">
        <f t="shared" si="91"/>
        <v>685.54</v>
      </c>
    </row>
    <row r="321" spans="1:21">
      <c r="A321" s="333" t="s">
        <v>3630</v>
      </c>
      <c r="B321" s="87" t="s">
        <v>2603</v>
      </c>
      <c r="C321" s="87" t="s">
        <v>2862</v>
      </c>
      <c r="D321" s="290" t="s">
        <v>743</v>
      </c>
      <c r="E321" s="87" t="s">
        <v>48</v>
      </c>
      <c r="F321" s="284">
        <v>4</v>
      </c>
      <c r="G321" s="291">
        <v>11.63</v>
      </c>
      <c r="H321" s="291">
        <f t="shared" si="105"/>
        <v>46.52</v>
      </c>
      <c r="I321" s="309">
        <f t="shared" si="92"/>
        <v>1.1366220656216986E-6</v>
      </c>
      <c r="J321" s="291"/>
      <c r="K321" s="291"/>
      <c r="L321" s="291"/>
      <c r="M321" s="291"/>
      <c r="N321" s="291"/>
      <c r="O321" s="291"/>
      <c r="P321" s="291"/>
      <c r="Q321" s="291"/>
      <c r="R321" s="306">
        <v>0</v>
      </c>
      <c r="S321" s="291">
        <f t="shared" si="106"/>
        <v>0</v>
      </c>
      <c r="T321" s="327">
        <f t="shared" si="90"/>
        <v>4</v>
      </c>
      <c r="U321" s="334">
        <f t="shared" si="91"/>
        <v>46.52</v>
      </c>
    </row>
    <row r="322" spans="1:21" ht="45">
      <c r="A322" s="333" t="s">
        <v>3631</v>
      </c>
      <c r="B322" s="87" t="s">
        <v>1810</v>
      </c>
      <c r="C322" s="87" t="s">
        <v>2863</v>
      </c>
      <c r="D322" s="290" t="s">
        <v>752</v>
      </c>
      <c r="E322" s="87" t="s">
        <v>48</v>
      </c>
      <c r="F322" s="284">
        <v>277</v>
      </c>
      <c r="G322" s="291">
        <v>30.33</v>
      </c>
      <c r="H322" s="291">
        <f t="shared" si="105"/>
        <v>8401.41</v>
      </c>
      <c r="I322" s="309">
        <f t="shared" si="92"/>
        <v>2.0527145288767829E-4</v>
      </c>
      <c r="J322" s="291"/>
      <c r="K322" s="291"/>
      <c r="L322" s="291"/>
      <c r="M322" s="291"/>
      <c r="N322" s="291"/>
      <c r="O322" s="291"/>
      <c r="P322" s="291"/>
      <c r="Q322" s="291"/>
      <c r="R322" s="306">
        <v>0</v>
      </c>
      <c r="S322" s="291">
        <f t="shared" si="106"/>
        <v>0</v>
      </c>
      <c r="T322" s="327">
        <f t="shared" si="90"/>
        <v>277</v>
      </c>
      <c r="U322" s="334">
        <f t="shared" si="91"/>
        <v>8401.41</v>
      </c>
    </row>
    <row r="323" spans="1:21" ht="30">
      <c r="A323" s="333" t="s">
        <v>3632</v>
      </c>
      <c r="B323" s="87" t="s">
        <v>2864</v>
      </c>
      <c r="C323" s="87" t="s">
        <v>2865</v>
      </c>
      <c r="D323" s="290" t="s">
        <v>1103</v>
      </c>
      <c r="E323" s="87" t="s">
        <v>107</v>
      </c>
      <c r="F323" s="284">
        <v>25728.160000000003</v>
      </c>
      <c r="G323" s="291">
        <v>6.69</v>
      </c>
      <c r="H323" s="291">
        <f t="shared" si="105"/>
        <v>172121.39</v>
      </c>
      <c r="I323" s="309">
        <f t="shared" si="92"/>
        <v>4.2054378727316849E-3</v>
      </c>
      <c r="J323" s="291"/>
      <c r="K323" s="291"/>
      <c r="L323" s="291"/>
      <c r="M323" s="291"/>
      <c r="N323" s="291"/>
      <c r="O323" s="291"/>
      <c r="P323" s="291"/>
      <c r="Q323" s="291"/>
      <c r="R323" s="306">
        <v>0</v>
      </c>
      <c r="S323" s="291">
        <f t="shared" si="106"/>
        <v>0</v>
      </c>
      <c r="T323" s="327">
        <f t="shared" si="90"/>
        <v>25728.160000000003</v>
      </c>
      <c r="U323" s="334">
        <f t="shared" si="91"/>
        <v>172121.39040000003</v>
      </c>
    </row>
    <row r="324" spans="1:21" ht="30">
      <c r="A324" s="333" t="s">
        <v>3633</v>
      </c>
      <c r="B324" s="87" t="s">
        <v>1810</v>
      </c>
      <c r="C324" s="87" t="s">
        <v>2866</v>
      </c>
      <c r="D324" s="290" t="s">
        <v>2867</v>
      </c>
      <c r="E324" s="87" t="s">
        <v>107</v>
      </c>
      <c r="F324" s="284">
        <v>3375.13</v>
      </c>
      <c r="G324" s="291">
        <v>5.29</v>
      </c>
      <c r="H324" s="291">
        <f t="shared" si="105"/>
        <v>17854.439999999999</v>
      </c>
      <c r="I324" s="309">
        <f t="shared" si="92"/>
        <v>4.3623711249610224E-4</v>
      </c>
      <c r="J324" s="291"/>
      <c r="K324" s="291"/>
      <c r="L324" s="291"/>
      <c r="M324" s="291"/>
      <c r="N324" s="291"/>
      <c r="O324" s="291"/>
      <c r="P324" s="291"/>
      <c r="Q324" s="291"/>
      <c r="R324" s="306">
        <v>0</v>
      </c>
      <c r="S324" s="291">
        <f t="shared" si="106"/>
        <v>0</v>
      </c>
      <c r="T324" s="327">
        <f t="shared" si="90"/>
        <v>3375.13</v>
      </c>
      <c r="U324" s="334">
        <f t="shared" si="91"/>
        <v>17854.437700000002</v>
      </c>
    </row>
    <row r="325" spans="1:21" ht="30">
      <c r="A325" s="333" t="s">
        <v>3634</v>
      </c>
      <c r="B325" s="87" t="s">
        <v>1810</v>
      </c>
      <c r="C325" s="87" t="s">
        <v>2868</v>
      </c>
      <c r="D325" s="290" t="s">
        <v>755</v>
      </c>
      <c r="E325" s="87" t="s">
        <v>48</v>
      </c>
      <c r="F325" s="284">
        <v>47</v>
      </c>
      <c r="G325" s="291">
        <v>92.58</v>
      </c>
      <c r="H325" s="291">
        <f t="shared" si="105"/>
        <v>4351.26</v>
      </c>
      <c r="I325" s="309">
        <f t="shared" si="92"/>
        <v>1.0631423321704798E-4</v>
      </c>
      <c r="J325" s="291"/>
      <c r="K325" s="291"/>
      <c r="L325" s="291"/>
      <c r="M325" s="291"/>
      <c r="N325" s="291"/>
      <c r="O325" s="291"/>
      <c r="P325" s="291"/>
      <c r="Q325" s="291"/>
      <c r="R325" s="306">
        <v>0</v>
      </c>
      <c r="S325" s="291">
        <f t="shared" si="106"/>
        <v>0</v>
      </c>
      <c r="T325" s="327">
        <f t="shared" si="90"/>
        <v>47</v>
      </c>
      <c r="U325" s="334">
        <f t="shared" si="91"/>
        <v>4351.26</v>
      </c>
    </row>
    <row r="326" spans="1:21" ht="30">
      <c r="A326" s="333" t="s">
        <v>3635</v>
      </c>
      <c r="B326" s="87" t="s">
        <v>1810</v>
      </c>
      <c r="C326" s="87" t="s">
        <v>2869</v>
      </c>
      <c r="D326" s="290" t="s">
        <v>758</v>
      </c>
      <c r="E326" s="87" t="s">
        <v>48</v>
      </c>
      <c r="F326" s="284">
        <v>4</v>
      </c>
      <c r="G326" s="291">
        <v>177.39</v>
      </c>
      <c r="H326" s="291">
        <f t="shared" si="105"/>
        <v>709.56</v>
      </c>
      <c r="I326" s="309">
        <f t="shared" si="92"/>
        <v>1.7336662787672664E-5</v>
      </c>
      <c r="J326" s="291"/>
      <c r="K326" s="291"/>
      <c r="L326" s="291"/>
      <c r="M326" s="291"/>
      <c r="N326" s="291"/>
      <c r="O326" s="291"/>
      <c r="P326" s="291"/>
      <c r="Q326" s="291"/>
      <c r="R326" s="306">
        <v>0</v>
      </c>
      <c r="S326" s="291">
        <f t="shared" si="106"/>
        <v>0</v>
      </c>
      <c r="T326" s="327">
        <f t="shared" si="90"/>
        <v>4</v>
      </c>
      <c r="U326" s="334">
        <f t="shared" si="91"/>
        <v>709.56</v>
      </c>
    </row>
    <row r="327" spans="1:21" ht="30">
      <c r="A327" s="333" t="s">
        <v>3636</v>
      </c>
      <c r="B327" s="87" t="s">
        <v>1810</v>
      </c>
      <c r="C327" s="87" t="s">
        <v>2870</v>
      </c>
      <c r="D327" s="290" t="s">
        <v>1282</v>
      </c>
      <c r="E327" s="87" t="s">
        <v>48</v>
      </c>
      <c r="F327" s="284">
        <v>3</v>
      </c>
      <c r="G327" s="291">
        <v>250.48</v>
      </c>
      <c r="H327" s="291">
        <f t="shared" si="105"/>
        <v>751.44</v>
      </c>
      <c r="I327" s="309">
        <f t="shared" si="92"/>
        <v>1.8359915842449897E-5</v>
      </c>
      <c r="J327" s="291"/>
      <c r="K327" s="291"/>
      <c r="L327" s="291"/>
      <c r="M327" s="291"/>
      <c r="N327" s="291"/>
      <c r="O327" s="291"/>
      <c r="P327" s="291"/>
      <c r="Q327" s="291"/>
      <c r="R327" s="306">
        <v>0</v>
      </c>
      <c r="S327" s="291">
        <f t="shared" si="106"/>
        <v>0</v>
      </c>
      <c r="T327" s="327">
        <f t="shared" si="90"/>
        <v>3</v>
      </c>
      <c r="U327" s="334">
        <f t="shared" si="91"/>
        <v>751.43999999999994</v>
      </c>
    </row>
    <row r="328" spans="1:21">
      <c r="A328" s="333" t="s">
        <v>3637</v>
      </c>
      <c r="B328" s="87" t="s">
        <v>1810</v>
      </c>
      <c r="C328" s="87" t="s">
        <v>2871</v>
      </c>
      <c r="D328" s="290" t="s">
        <v>1322</v>
      </c>
      <c r="E328" s="87" t="s">
        <v>48</v>
      </c>
      <c r="F328" s="284">
        <v>245</v>
      </c>
      <c r="G328" s="291">
        <v>37.159999999999997</v>
      </c>
      <c r="H328" s="291">
        <f t="shared" si="105"/>
        <v>9104.2000000000007</v>
      </c>
      <c r="I328" s="309">
        <f t="shared" si="92"/>
        <v>2.2244270442461453E-4</v>
      </c>
      <c r="J328" s="291"/>
      <c r="K328" s="291"/>
      <c r="L328" s="291"/>
      <c r="M328" s="291"/>
      <c r="N328" s="291"/>
      <c r="O328" s="291"/>
      <c r="P328" s="291"/>
      <c r="Q328" s="291"/>
      <c r="R328" s="306">
        <v>0</v>
      </c>
      <c r="S328" s="291">
        <f t="shared" si="106"/>
        <v>0</v>
      </c>
      <c r="T328" s="327">
        <f t="shared" si="90"/>
        <v>245</v>
      </c>
      <c r="U328" s="334">
        <f t="shared" si="91"/>
        <v>9104.1999999999989</v>
      </c>
    </row>
    <row r="329" spans="1:21">
      <c r="A329" s="333" t="s">
        <v>3638</v>
      </c>
      <c r="B329" s="87" t="s">
        <v>1810</v>
      </c>
      <c r="C329" s="87" t="s">
        <v>2872</v>
      </c>
      <c r="D329" s="290" t="s">
        <v>1325</v>
      </c>
      <c r="E329" s="87" t="s">
        <v>48</v>
      </c>
      <c r="F329" s="284">
        <v>54</v>
      </c>
      <c r="G329" s="291">
        <v>49.56</v>
      </c>
      <c r="H329" s="291">
        <f t="shared" si="105"/>
        <v>2676.24</v>
      </c>
      <c r="I329" s="309">
        <f t="shared" si="92"/>
        <v>6.5388508961724293E-5</v>
      </c>
      <c r="J329" s="291"/>
      <c r="K329" s="291"/>
      <c r="L329" s="291"/>
      <c r="M329" s="291"/>
      <c r="N329" s="291"/>
      <c r="O329" s="291"/>
      <c r="P329" s="291"/>
      <c r="Q329" s="291"/>
      <c r="R329" s="306">
        <v>0</v>
      </c>
      <c r="S329" s="291">
        <f t="shared" si="106"/>
        <v>0</v>
      </c>
      <c r="T329" s="327">
        <f t="shared" si="90"/>
        <v>54</v>
      </c>
      <c r="U329" s="334">
        <f t="shared" si="91"/>
        <v>2676.2400000000002</v>
      </c>
    </row>
    <row r="330" spans="1:21" ht="30">
      <c r="A330" s="333" t="s">
        <v>3639</v>
      </c>
      <c r="B330" s="87" t="s">
        <v>2873</v>
      </c>
      <c r="C330" s="87" t="s">
        <v>2874</v>
      </c>
      <c r="D330" s="290" t="s">
        <v>2875</v>
      </c>
      <c r="E330" s="87" t="s">
        <v>48</v>
      </c>
      <c r="F330" s="284">
        <v>5</v>
      </c>
      <c r="G330" s="291">
        <v>14905.29</v>
      </c>
      <c r="H330" s="291">
        <f t="shared" si="105"/>
        <v>74526.45</v>
      </c>
      <c r="I330" s="309">
        <f t="shared" si="92"/>
        <v>1.8209029996227907E-3</v>
      </c>
      <c r="J330" s="291"/>
      <c r="K330" s="291"/>
      <c r="L330" s="291"/>
      <c r="M330" s="291"/>
      <c r="N330" s="291"/>
      <c r="O330" s="291"/>
      <c r="P330" s="291"/>
      <c r="Q330" s="291"/>
      <c r="R330" s="306">
        <v>0</v>
      </c>
      <c r="S330" s="291">
        <f t="shared" si="106"/>
        <v>0</v>
      </c>
      <c r="T330" s="327">
        <f t="shared" si="90"/>
        <v>5</v>
      </c>
      <c r="U330" s="334">
        <f t="shared" si="91"/>
        <v>74526.450000000012</v>
      </c>
    </row>
    <row r="331" spans="1:21">
      <c r="A331" s="333" t="s">
        <v>3640</v>
      </c>
      <c r="B331" s="87" t="s">
        <v>1810</v>
      </c>
      <c r="C331" s="87" t="s">
        <v>2876</v>
      </c>
      <c r="D331" s="290" t="s">
        <v>982</v>
      </c>
      <c r="E331" s="87" t="s">
        <v>48</v>
      </c>
      <c r="F331" s="284">
        <v>128</v>
      </c>
      <c r="G331" s="291">
        <v>11.97</v>
      </c>
      <c r="H331" s="291">
        <f t="shared" si="105"/>
        <v>1532.16</v>
      </c>
      <c r="I331" s="309">
        <f t="shared" si="92"/>
        <v>3.7435229236090752E-5</v>
      </c>
      <c r="J331" s="291"/>
      <c r="K331" s="291"/>
      <c r="L331" s="291"/>
      <c r="M331" s="291"/>
      <c r="N331" s="291"/>
      <c r="O331" s="291"/>
      <c r="P331" s="291"/>
      <c r="Q331" s="291"/>
      <c r="R331" s="306">
        <v>0</v>
      </c>
      <c r="S331" s="291">
        <f t="shared" si="106"/>
        <v>0</v>
      </c>
      <c r="T331" s="327">
        <f t="shared" si="90"/>
        <v>128</v>
      </c>
      <c r="U331" s="334">
        <f t="shared" si="91"/>
        <v>1532.16</v>
      </c>
    </row>
    <row r="332" spans="1:21" ht="30">
      <c r="A332" s="333" t="s">
        <v>3641</v>
      </c>
      <c r="B332" s="87" t="s">
        <v>1810</v>
      </c>
      <c r="C332" s="87" t="s">
        <v>2877</v>
      </c>
      <c r="D332" s="290" t="s">
        <v>779</v>
      </c>
      <c r="E332" s="87" t="s">
        <v>48</v>
      </c>
      <c r="F332" s="284">
        <v>10</v>
      </c>
      <c r="G332" s="291">
        <v>91.89</v>
      </c>
      <c r="H332" s="291">
        <f t="shared" si="105"/>
        <v>918.9</v>
      </c>
      <c r="I332" s="309">
        <f t="shared" ref="I332:I395" si="107">H332/$H$741</f>
        <v>2.2451462082970309E-5</v>
      </c>
      <c r="J332" s="291"/>
      <c r="K332" s="291"/>
      <c r="L332" s="291"/>
      <c r="M332" s="291"/>
      <c r="N332" s="291"/>
      <c r="O332" s="291"/>
      <c r="P332" s="291"/>
      <c r="Q332" s="291"/>
      <c r="R332" s="306">
        <v>0</v>
      </c>
      <c r="S332" s="291">
        <f t="shared" si="106"/>
        <v>0</v>
      </c>
      <c r="T332" s="327">
        <f t="shared" ref="T332:T395" si="108">F332-R332</f>
        <v>10</v>
      </c>
      <c r="U332" s="334">
        <f t="shared" ref="U332:U395" si="109">T332*G332</f>
        <v>918.9</v>
      </c>
    </row>
    <row r="333" spans="1:21" ht="30">
      <c r="A333" s="333" t="s">
        <v>3642</v>
      </c>
      <c r="B333" s="87" t="s">
        <v>1810</v>
      </c>
      <c r="C333" s="87" t="s">
        <v>2878</v>
      </c>
      <c r="D333" s="290" t="s">
        <v>2879</v>
      </c>
      <c r="E333" s="87" t="s">
        <v>107</v>
      </c>
      <c r="F333" s="284">
        <v>420</v>
      </c>
      <c r="G333" s="291">
        <v>74</v>
      </c>
      <c r="H333" s="291">
        <f t="shared" si="105"/>
        <v>31080</v>
      </c>
      <c r="I333" s="309">
        <f t="shared" si="107"/>
        <v>7.5937690884613906E-4</v>
      </c>
      <c r="J333" s="291"/>
      <c r="K333" s="291"/>
      <c r="L333" s="291"/>
      <c r="M333" s="291"/>
      <c r="N333" s="291"/>
      <c r="O333" s="291"/>
      <c r="P333" s="291"/>
      <c r="Q333" s="291"/>
      <c r="R333" s="306">
        <v>0</v>
      </c>
      <c r="S333" s="291">
        <f t="shared" si="106"/>
        <v>0</v>
      </c>
      <c r="T333" s="327">
        <f t="shared" si="108"/>
        <v>420</v>
      </c>
      <c r="U333" s="334">
        <f t="shared" si="109"/>
        <v>31080</v>
      </c>
    </row>
    <row r="334" spans="1:21" ht="30">
      <c r="A334" s="333" t="s">
        <v>3643</v>
      </c>
      <c r="B334" s="87" t="s">
        <v>1810</v>
      </c>
      <c r="C334" s="87" t="s">
        <v>2880</v>
      </c>
      <c r="D334" s="290" t="s">
        <v>1021</v>
      </c>
      <c r="E334" s="87" t="s">
        <v>48</v>
      </c>
      <c r="F334" s="284">
        <v>12</v>
      </c>
      <c r="G334" s="291">
        <v>101.96</v>
      </c>
      <c r="H334" s="291">
        <f t="shared" si="105"/>
        <v>1223.52</v>
      </c>
      <c r="I334" s="309">
        <f t="shared" si="107"/>
        <v>2.9894235376815575E-5</v>
      </c>
      <c r="J334" s="291"/>
      <c r="K334" s="291"/>
      <c r="L334" s="291"/>
      <c r="M334" s="291"/>
      <c r="N334" s="291"/>
      <c r="O334" s="291"/>
      <c r="P334" s="291"/>
      <c r="Q334" s="291"/>
      <c r="R334" s="306">
        <v>0</v>
      </c>
      <c r="S334" s="291">
        <f t="shared" si="106"/>
        <v>0</v>
      </c>
      <c r="T334" s="327">
        <f t="shared" si="108"/>
        <v>12</v>
      </c>
      <c r="U334" s="334">
        <f t="shared" si="109"/>
        <v>1223.52</v>
      </c>
    </row>
    <row r="335" spans="1:21" ht="30">
      <c r="A335" s="333" t="s">
        <v>3644</v>
      </c>
      <c r="B335" s="87" t="s">
        <v>1810</v>
      </c>
      <c r="C335" s="87" t="s">
        <v>2881</v>
      </c>
      <c r="D335" s="290" t="s">
        <v>898</v>
      </c>
      <c r="E335" s="87" t="s">
        <v>48</v>
      </c>
      <c r="F335" s="284">
        <v>218</v>
      </c>
      <c r="G335" s="291">
        <v>15.13</v>
      </c>
      <c r="H335" s="291">
        <f t="shared" si="105"/>
        <v>3298.34</v>
      </c>
      <c r="I335" s="309">
        <f t="shared" si="107"/>
        <v>8.0588263626884626E-5</v>
      </c>
      <c r="J335" s="291"/>
      <c r="K335" s="291"/>
      <c r="L335" s="291"/>
      <c r="M335" s="291"/>
      <c r="N335" s="291"/>
      <c r="O335" s="291"/>
      <c r="P335" s="291"/>
      <c r="Q335" s="291"/>
      <c r="R335" s="306">
        <v>0</v>
      </c>
      <c r="S335" s="291">
        <f t="shared" si="106"/>
        <v>0</v>
      </c>
      <c r="T335" s="327">
        <f t="shared" si="108"/>
        <v>218</v>
      </c>
      <c r="U335" s="334">
        <f t="shared" si="109"/>
        <v>3298.34</v>
      </c>
    </row>
    <row r="336" spans="1:21" ht="30">
      <c r="A336" s="333" t="s">
        <v>3645</v>
      </c>
      <c r="B336" s="87" t="s">
        <v>1810</v>
      </c>
      <c r="C336" s="87" t="s">
        <v>2882</v>
      </c>
      <c r="D336" s="290" t="s">
        <v>2883</v>
      </c>
      <c r="E336" s="87" t="s">
        <v>107</v>
      </c>
      <c r="F336" s="284">
        <v>750.10000000000014</v>
      </c>
      <c r="G336" s="291">
        <v>24.16</v>
      </c>
      <c r="H336" s="291">
        <f t="shared" si="105"/>
        <v>18122.419999999998</v>
      </c>
      <c r="I336" s="309">
        <f t="shared" si="107"/>
        <v>4.4278466153189978E-4</v>
      </c>
      <c r="J336" s="291"/>
      <c r="K336" s="291"/>
      <c r="L336" s="291"/>
      <c r="M336" s="291"/>
      <c r="N336" s="291"/>
      <c r="O336" s="291"/>
      <c r="P336" s="291"/>
      <c r="Q336" s="291"/>
      <c r="R336" s="306">
        <v>0</v>
      </c>
      <c r="S336" s="291">
        <f t="shared" si="106"/>
        <v>0</v>
      </c>
      <c r="T336" s="327">
        <f t="shared" si="108"/>
        <v>750.10000000000014</v>
      </c>
      <c r="U336" s="334">
        <f t="shared" si="109"/>
        <v>18122.416000000005</v>
      </c>
    </row>
    <row r="337" spans="1:21" ht="30">
      <c r="A337" s="333" t="s">
        <v>3646</v>
      </c>
      <c r="B337" s="87" t="s">
        <v>1810</v>
      </c>
      <c r="C337" s="87" t="s">
        <v>2884</v>
      </c>
      <c r="D337" s="290" t="s">
        <v>2885</v>
      </c>
      <c r="E337" s="87" t="s">
        <v>107</v>
      </c>
      <c r="F337" s="284">
        <v>20.100000000000001</v>
      </c>
      <c r="G337" s="291">
        <v>9.58</v>
      </c>
      <c r="H337" s="291">
        <f t="shared" si="105"/>
        <v>192.56</v>
      </c>
      <c r="I337" s="309">
        <f t="shared" si="107"/>
        <v>4.7048139500454486E-6</v>
      </c>
      <c r="J337" s="291"/>
      <c r="K337" s="291"/>
      <c r="L337" s="291"/>
      <c r="M337" s="291"/>
      <c r="N337" s="291"/>
      <c r="O337" s="291"/>
      <c r="P337" s="291"/>
      <c r="Q337" s="291"/>
      <c r="R337" s="306">
        <v>0</v>
      </c>
      <c r="S337" s="291">
        <f t="shared" si="106"/>
        <v>0</v>
      </c>
      <c r="T337" s="327">
        <f t="shared" si="108"/>
        <v>20.100000000000001</v>
      </c>
      <c r="U337" s="334">
        <f t="shared" si="109"/>
        <v>192.55800000000002</v>
      </c>
    </row>
    <row r="338" spans="1:21" ht="45">
      <c r="A338" s="333" t="s">
        <v>3647</v>
      </c>
      <c r="B338" s="87" t="s">
        <v>1810</v>
      </c>
      <c r="C338" s="87" t="s">
        <v>2886</v>
      </c>
      <c r="D338" s="290" t="s">
        <v>2887</v>
      </c>
      <c r="E338" s="87" t="s">
        <v>107</v>
      </c>
      <c r="F338" s="284">
        <v>300</v>
      </c>
      <c r="G338" s="291">
        <v>33.840000000000003</v>
      </c>
      <c r="H338" s="291">
        <f t="shared" si="105"/>
        <v>10152</v>
      </c>
      <c r="I338" s="309">
        <f t="shared" si="107"/>
        <v>2.4804357717522535E-4</v>
      </c>
      <c r="J338" s="291"/>
      <c r="K338" s="291"/>
      <c r="L338" s="291"/>
      <c r="M338" s="291"/>
      <c r="N338" s="291"/>
      <c r="O338" s="291"/>
      <c r="P338" s="291"/>
      <c r="Q338" s="291"/>
      <c r="R338" s="306">
        <v>0</v>
      </c>
      <c r="S338" s="291">
        <f t="shared" si="106"/>
        <v>0</v>
      </c>
      <c r="T338" s="327">
        <f t="shared" si="108"/>
        <v>300</v>
      </c>
      <c r="U338" s="334">
        <f t="shared" si="109"/>
        <v>10152.000000000002</v>
      </c>
    </row>
    <row r="339" spans="1:21" ht="45">
      <c r="A339" s="333" t="s">
        <v>3648</v>
      </c>
      <c r="B339" s="87" t="s">
        <v>1810</v>
      </c>
      <c r="C339" s="87" t="s">
        <v>2888</v>
      </c>
      <c r="D339" s="290" t="s">
        <v>2889</v>
      </c>
      <c r="E339" s="87" t="s">
        <v>107</v>
      </c>
      <c r="F339" s="284">
        <v>23.1</v>
      </c>
      <c r="G339" s="291">
        <v>35.57</v>
      </c>
      <c r="H339" s="291">
        <f t="shared" si="105"/>
        <v>821.67</v>
      </c>
      <c r="I339" s="309">
        <f t="shared" si="107"/>
        <v>2.0075843780296237E-5</v>
      </c>
      <c r="J339" s="291"/>
      <c r="K339" s="291"/>
      <c r="L339" s="291"/>
      <c r="M339" s="291"/>
      <c r="N339" s="291"/>
      <c r="O339" s="291"/>
      <c r="P339" s="291"/>
      <c r="Q339" s="291"/>
      <c r="R339" s="306">
        <v>0</v>
      </c>
      <c r="S339" s="291">
        <f t="shared" si="106"/>
        <v>0</v>
      </c>
      <c r="T339" s="327">
        <f t="shared" si="108"/>
        <v>23.1</v>
      </c>
      <c r="U339" s="334">
        <f t="shared" si="109"/>
        <v>821.66700000000003</v>
      </c>
    </row>
    <row r="340" spans="1:21" ht="45">
      <c r="A340" s="333" t="s">
        <v>3649</v>
      </c>
      <c r="B340" s="87" t="s">
        <v>1810</v>
      </c>
      <c r="C340" s="87" t="s">
        <v>2890</v>
      </c>
      <c r="D340" s="290" t="s">
        <v>2891</v>
      </c>
      <c r="E340" s="87" t="s">
        <v>107</v>
      </c>
      <c r="F340" s="284">
        <v>164.2</v>
      </c>
      <c r="G340" s="291">
        <v>56.88</v>
      </c>
      <c r="H340" s="291">
        <f t="shared" si="105"/>
        <v>9339.7000000000007</v>
      </c>
      <c r="I340" s="309">
        <f t="shared" si="107"/>
        <v>2.2819667038450082E-4</v>
      </c>
      <c r="J340" s="291"/>
      <c r="K340" s="291"/>
      <c r="L340" s="291"/>
      <c r="M340" s="291"/>
      <c r="N340" s="291"/>
      <c r="O340" s="291"/>
      <c r="P340" s="291"/>
      <c r="Q340" s="291"/>
      <c r="R340" s="306">
        <v>0</v>
      </c>
      <c r="S340" s="291">
        <f t="shared" si="106"/>
        <v>0</v>
      </c>
      <c r="T340" s="327">
        <f t="shared" si="108"/>
        <v>164.2</v>
      </c>
      <c r="U340" s="334">
        <f t="shared" si="109"/>
        <v>9339.6959999999999</v>
      </c>
    </row>
    <row r="341" spans="1:21">
      <c r="A341" s="336"/>
      <c r="B341" s="293"/>
      <c r="C341" s="293"/>
      <c r="D341" s="294" t="s">
        <v>2593</v>
      </c>
      <c r="E341" s="293"/>
      <c r="F341" s="316"/>
      <c r="G341" s="295">
        <v>0</v>
      </c>
      <c r="H341" s="296">
        <f>SUM(H311:H340)</f>
        <v>431673.53</v>
      </c>
      <c r="I341" s="310">
        <f t="shared" si="107"/>
        <v>1.0547069203413806E-2</v>
      </c>
      <c r="J341" s="296"/>
      <c r="K341" s="296"/>
      <c r="L341" s="296"/>
      <c r="M341" s="296"/>
      <c r="N341" s="296"/>
      <c r="O341" s="296"/>
      <c r="P341" s="296"/>
      <c r="Q341" s="296"/>
      <c r="R341" s="307">
        <v>0</v>
      </c>
      <c r="S341" s="296">
        <f t="shared" ref="S341:U341" si="110">SUM(S311:S340)</f>
        <v>0</v>
      </c>
      <c r="T341" s="329"/>
      <c r="U341" s="337">
        <f t="shared" si="110"/>
        <v>431673.51510000014</v>
      </c>
    </row>
    <row r="342" spans="1:21">
      <c r="A342" s="331" t="s">
        <v>3650</v>
      </c>
      <c r="B342" s="351" t="s">
        <v>2892</v>
      </c>
      <c r="C342" s="351" t="s">
        <v>2892</v>
      </c>
      <c r="D342" s="351" t="s">
        <v>2892</v>
      </c>
      <c r="E342" s="351" t="s">
        <v>2892</v>
      </c>
      <c r="F342" s="351" t="s">
        <v>2892</v>
      </c>
      <c r="G342" s="288"/>
      <c r="H342" s="288"/>
      <c r="I342" s="311"/>
      <c r="J342" s="288"/>
      <c r="K342" s="288"/>
      <c r="L342" s="288"/>
      <c r="M342" s="288"/>
      <c r="N342" s="288"/>
      <c r="O342" s="288"/>
      <c r="P342" s="288"/>
      <c r="Q342" s="288"/>
      <c r="R342" s="305"/>
      <c r="S342" s="288"/>
      <c r="T342" s="326"/>
      <c r="U342" s="338"/>
    </row>
    <row r="343" spans="1:21" ht="60">
      <c r="A343" s="333" t="s">
        <v>3651</v>
      </c>
      <c r="B343" s="87" t="s">
        <v>1810</v>
      </c>
      <c r="C343" s="87" t="s">
        <v>2893</v>
      </c>
      <c r="D343" s="290" t="s">
        <v>2894</v>
      </c>
      <c r="E343" s="87" t="s">
        <v>48</v>
      </c>
      <c r="F343" s="284">
        <v>11</v>
      </c>
      <c r="G343" s="291">
        <v>1385.66</v>
      </c>
      <c r="H343" s="291">
        <f t="shared" ref="H343:H406" si="111">ROUND((G343*F343),2)</f>
        <v>15242.26</v>
      </c>
      <c r="I343" s="309">
        <f t="shared" si="107"/>
        <v>3.7241378000737297E-4</v>
      </c>
      <c r="J343" s="291"/>
      <c r="K343" s="291"/>
      <c r="L343" s="291"/>
      <c r="M343" s="291"/>
      <c r="N343" s="291"/>
      <c r="O343" s="291"/>
      <c r="P343" s="291"/>
      <c r="Q343" s="291"/>
      <c r="R343" s="306">
        <v>0</v>
      </c>
      <c r="S343" s="291">
        <f t="shared" ref="S343:S406" si="112">ROUND((R343*P343),2)</f>
        <v>0</v>
      </c>
      <c r="T343" s="327">
        <f t="shared" si="108"/>
        <v>11</v>
      </c>
      <c r="U343" s="334">
        <f t="shared" si="109"/>
        <v>15242.26</v>
      </c>
    </row>
    <row r="344" spans="1:21" ht="60">
      <c r="A344" s="333" t="s">
        <v>3652</v>
      </c>
      <c r="B344" s="87" t="s">
        <v>1810</v>
      </c>
      <c r="C344" s="87" t="s">
        <v>2848</v>
      </c>
      <c r="D344" s="290" t="s">
        <v>2895</v>
      </c>
      <c r="E344" s="87" t="s">
        <v>48</v>
      </c>
      <c r="F344" s="284">
        <v>76</v>
      </c>
      <c r="G344" s="291">
        <v>171.14</v>
      </c>
      <c r="H344" s="291">
        <f t="shared" si="111"/>
        <v>13006.64</v>
      </c>
      <c r="I344" s="309">
        <f t="shared" si="107"/>
        <v>3.1779092914010766E-4</v>
      </c>
      <c r="J344" s="291"/>
      <c r="K344" s="291"/>
      <c r="L344" s="291"/>
      <c r="M344" s="291"/>
      <c r="N344" s="291"/>
      <c r="O344" s="291"/>
      <c r="P344" s="291"/>
      <c r="Q344" s="291"/>
      <c r="R344" s="306">
        <v>0</v>
      </c>
      <c r="S344" s="291">
        <f t="shared" si="112"/>
        <v>0</v>
      </c>
      <c r="T344" s="327">
        <f t="shared" si="108"/>
        <v>76</v>
      </c>
      <c r="U344" s="334">
        <f t="shared" si="109"/>
        <v>13006.64</v>
      </c>
    </row>
    <row r="345" spans="1:21" ht="60">
      <c r="A345" s="333" t="s">
        <v>3653</v>
      </c>
      <c r="B345" s="87" t="s">
        <v>1810</v>
      </c>
      <c r="C345" s="87" t="s">
        <v>2850</v>
      </c>
      <c r="D345" s="290" t="s">
        <v>2896</v>
      </c>
      <c r="E345" s="87" t="s">
        <v>48</v>
      </c>
      <c r="F345" s="284">
        <v>13</v>
      </c>
      <c r="G345" s="291">
        <v>389.19</v>
      </c>
      <c r="H345" s="291">
        <f t="shared" si="111"/>
        <v>5059.47</v>
      </c>
      <c r="I345" s="309">
        <f t="shared" si="107"/>
        <v>1.2361791148647925E-4</v>
      </c>
      <c r="J345" s="291"/>
      <c r="K345" s="291"/>
      <c r="L345" s="291"/>
      <c r="M345" s="291"/>
      <c r="N345" s="291"/>
      <c r="O345" s="291"/>
      <c r="P345" s="291"/>
      <c r="Q345" s="291"/>
      <c r="R345" s="306">
        <v>0</v>
      </c>
      <c r="S345" s="291">
        <f t="shared" si="112"/>
        <v>0</v>
      </c>
      <c r="T345" s="327">
        <f t="shared" si="108"/>
        <v>13</v>
      </c>
      <c r="U345" s="334">
        <f t="shared" si="109"/>
        <v>5059.47</v>
      </c>
    </row>
    <row r="346" spans="1:21" ht="45">
      <c r="A346" s="333" t="s">
        <v>3654</v>
      </c>
      <c r="B346" s="87" t="s">
        <v>2649</v>
      </c>
      <c r="C346" s="87" t="s">
        <v>2897</v>
      </c>
      <c r="D346" s="290" t="s">
        <v>2898</v>
      </c>
      <c r="E346" s="87" t="s">
        <v>48</v>
      </c>
      <c r="F346" s="284">
        <v>1</v>
      </c>
      <c r="G346" s="291">
        <v>7342.89</v>
      </c>
      <c r="H346" s="291">
        <f t="shared" si="111"/>
        <v>7342.89</v>
      </c>
      <c r="I346" s="309">
        <f t="shared" si="107"/>
        <v>1.7940865862925439E-4</v>
      </c>
      <c r="J346" s="291"/>
      <c r="K346" s="291"/>
      <c r="L346" s="291"/>
      <c r="M346" s="291"/>
      <c r="N346" s="291"/>
      <c r="O346" s="291"/>
      <c r="P346" s="291"/>
      <c r="Q346" s="291"/>
      <c r="R346" s="306">
        <v>0</v>
      </c>
      <c r="S346" s="291">
        <f t="shared" si="112"/>
        <v>0</v>
      </c>
      <c r="T346" s="327">
        <f t="shared" si="108"/>
        <v>1</v>
      </c>
      <c r="U346" s="334">
        <f t="shared" si="109"/>
        <v>7342.89</v>
      </c>
    </row>
    <row r="347" spans="1:21" ht="45">
      <c r="A347" s="333" t="s">
        <v>3655</v>
      </c>
      <c r="B347" s="87" t="s">
        <v>2649</v>
      </c>
      <c r="C347" s="87" t="s">
        <v>2897</v>
      </c>
      <c r="D347" s="290" t="s">
        <v>2899</v>
      </c>
      <c r="E347" s="87" t="s">
        <v>48</v>
      </c>
      <c r="F347" s="284">
        <v>1</v>
      </c>
      <c r="G347" s="291">
        <v>7342.89</v>
      </c>
      <c r="H347" s="291">
        <f t="shared" si="111"/>
        <v>7342.89</v>
      </c>
      <c r="I347" s="309">
        <f t="shared" si="107"/>
        <v>1.7940865862925439E-4</v>
      </c>
      <c r="J347" s="291"/>
      <c r="K347" s="291"/>
      <c r="L347" s="291"/>
      <c r="M347" s="291"/>
      <c r="N347" s="291"/>
      <c r="O347" s="291"/>
      <c r="P347" s="291"/>
      <c r="Q347" s="291"/>
      <c r="R347" s="306">
        <v>0</v>
      </c>
      <c r="S347" s="291">
        <f t="shared" si="112"/>
        <v>0</v>
      </c>
      <c r="T347" s="327">
        <f t="shared" si="108"/>
        <v>1</v>
      </c>
      <c r="U347" s="334">
        <f t="shared" si="109"/>
        <v>7342.89</v>
      </c>
    </row>
    <row r="348" spans="1:21" ht="45">
      <c r="A348" s="333" t="s">
        <v>3656</v>
      </c>
      <c r="B348" s="87" t="s">
        <v>1810</v>
      </c>
      <c r="C348" s="87" t="s">
        <v>2900</v>
      </c>
      <c r="D348" s="290" t="s">
        <v>2901</v>
      </c>
      <c r="E348" s="87" t="s">
        <v>48</v>
      </c>
      <c r="F348" s="284">
        <v>1</v>
      </c>
      <c r="G348" s="291">
        <v>619.79</v>
      </c>
      <c r="H348" s="291">
        <f t="shared" si="111"/>
        <v>619.79</v>
      </c>
      <c r="I348" s="309">
        <f t="shared" si="107"/>
        <v>1.5143314489502847E-5</v>
      </c>
      <c r="J348" s="291"/>
      <c r="K348" s="291"/>
      <c r="L348" s="291"/>
      <c r="M348" s="291"/>
      <c r="N348" s="291"/>
      <c r="O348" s="291"/>
      <c r="P348" s="291"/>
      <c r="Q348" s="291"/>
      <c r="R348" s="306">
        <v>0</v>
      </c>
      <c r="S348" s="291">
        <f t="shared" si="112"/>
        <v>0</v>
      </c>
      <c r="T348" s="327">
        <f t="shared" si="108"/>
        <v>1</v>
      </c>
      <c r="U348" s="334">
        <f t="shared" si="109"/>
        <v>619.79</v>
      </c>
    </row>
    <row r="349" spans="1:21">
      <c r="A349" s="333" t="s">
        <v>3657</v>
      </c>
      <c r="B349" s="87" t="s">
        <v>1810</v>
      </c>
      <c r="C349" s="87" t="s">
        <v>2902</v>
      </c>
      <c r="D349" s="290" t="s">
        <v>988</v>
      </c>
      <c r="E349" s="87" t="s">
        <v>48</v>
      </c>
      <c r="F349" s="284">
        <v>163</v>
      </c>
      <c r="G349" s="291">
        <v>11.97</v>
      </c>
      <c r="H349" s="291">
        <f t="shared" si="111"/>
        <v>1951.11</v>
      </c>
      <c r="I349" s="309">
        <f t="shared" si="107"/>
        <v>4.7671424730334309E-5</v>
      </c>
      <c r="J349" s="291"/>
      <c r="K349" s="291"/>
      <c r="L349" s="291"/>
      <c r="M349" s="291"/>
      <c r="N349" s="291"/>
      <c r="O349" s="291"/>
      <c r="P349" s="291"/>
      <c r="Q349" s="291"/>
      <c r="R349" s="306">
        <v>0</v>
      </c>
      <c r="S349" s="291">
        <f t="shared" si="112"/>
        <v>0</v>
      </c>
      <c r="T349" s="327">
        <f t="shared" si="108"/>
        <v>163</v>
      </c>
      <c r="U349" s="334">
        <f t="shared" si="109"/>
        <v>1951.1100000000001</v>
      </c>
    </row>
    <row r="350" spans="1:21" ht="45">
      <c r="A350" s="333" t="s">
        <v>3658</v>
      </c>
      <c r="B350" s="87" t="s">
        <v>1810</v>
      </c>
      <c r="C350" s="87" t="s">
        <v>2877</v>
      </c>
      <c r="D350" s="290" t="s">
        <v>2903</v>
      </c>
      <c r="E350" s="87" t="s">
        <v>48</v>
      </c>
      <c r="F350" s="284">
        <v>4</v>
      </c>
      <c r="G350" s="291">
        <v>91.89</v>
      </c>
      <c r="H350" s="291">
        <f t="shared" si="111"/>
        <v>367.56</v>
      </c>
      <c r="I350" s="309">
        <f t="shared" si="107"/>
        <v>8.9805848331881239E-6</v>
      </c>
      <c r="J350" s="291"/>
      <c r="K350" s="291"/>
      <c r="L350" s="291"/>
      <c r="M350" s="291"/>
      <c r="N350" s="291"/>
      <c r="O350" s="291"/>
      <c r="P350" s="291"/>
      <c r="Q350" s="291"/>
      <c r="R350" s="306">
        <v>0</v>
      </c>
      <c r="S350" s="291">
        <f t="shared" si="112"/>
        <v>0</v>
      </c>
      <c r="T350" s="327">
        <f t="shared" si="108"/>
        <v>4</v>
      </c>
      <c r="U350" s="334">
        <f t="shared" si="109"/>
        <v>367.56</v>
      </c>
    </row>
    <row r="351" spans="1:21" ht="30">
      <c r="A351" s="333" t="s">
        <v>3659</v>
      </c>
      <c r="B351" s="87" t="s">
        <v>2603</v>
      </c>
      <c r="C351" s="87" t="s">
        <v>2880</v>
      </c>
      <c r="D351" s="290" t="s">
        <v>1021</v>
      </c>
      <c r="E351" s="87" t="s">
        <v>48</v>
      </c>
      <c r="F351" s="284">
        <v>11</v>
      </c>
      <c r="G351" s="291">
        <v>101.96</v>
      </c>
      <c r="H351" s="291">
        <f t="shared" si="111"/>
        <v>1121.56</v>
      </c>
      <c r="I351" s="309">
        <f t="shared" si="107"/>
        <v>2.7403049095414276E-5</v>
      </c>
      <c r="J351" s="291"/>
      <c r="K351" s="291"/>
      <c r="L351" s="291"/>
      <c r="M351" s="291"/>
      <c r="N351" s="291"/>
      <c r="O351" s="291"/>
      <c r="P351" s="291"/>
      <c r="Q351" s="291"/>
      <c r="R351" s="306">
        <v>0</v>
      </c>
      <c r="S351" s="291">
        <f t="shared" si="112"/>
        <v>0</v>
      </c>
      <c r="T351" s="327">
        <f t="shared" si="108"/>
        <v>11</v>
      </c>
      <c r="U351" s="334">
        <f t="shared" si="109"/>
        <v>1121.56</v>
      </c>
    </row>
    <row r="352" spans="1:21" ht="30">
      <c r="A352" s="333" t="s">
        <v>3660</v>
      </c>
      <c r="B352" s="87" t="s">
        <v>1810</v>
      </c>
      <c r="C352" s="87" t="s">
        <v>2881</v>
      </c>
      <c r="D352" s="290" t="s">
        <v>898</v>
      </c>
      <c r="E352" s="87" t="s">
        <v>48</v>
      </c>
      <c r="F352" s="284">
        <v>94</v>
      </c>
      <c r="G352" s="291">
        <v>15.13</v>
      </c>
      <c r="H352" s="291">
        <f t="shared" si="111"/>
        <v>1422.22</v>
      </c>
      <c r="I352" s="309">
        <f t="shared" si="107"/>
        <v>3.4749067802418142E-5</v>
      </c>
      <c r="J352" s="291"/>
      <c r="K352" s="291"/>
      <c r="L352" s="291"/>
      <c r="M352" s="291"/>
      <c r="N352" s="291"/>
      <c r="O352" s="291"/>
      <c r="P352" s="291"/>
      <c r="Q352" s="291"/>
      <c r="R352" s="306">
        <v>0</v>
      </c>
      <c r="S352" s="291">
        <f t="shared" si="112"/>
        <v>0</v>
      </c>
      <c r="T352" s="327">
        <f t="shared" si="108"/>
        <v>94</v>
      </c>
      <c r="U352" s="334">
        <f t="shared" si="109"/>
        <v>1422.22</v>
      </c>
    </row>
    <row r="353" spans="1:21" ht="30">
      <c r="A353" s="333" t="s">
        <v>3661</v>
      </c>
      <c r="B353" s="87" t="s">
        <v>1810</v>
      </c>
      <c r="C353" s="87" t="s">
        <v>2904</v>
      </c>
      <c r="D353" s="290" t="s">
        <v>1015</v>
      </c>
      <c r="E353" s="87" t="s">
        <v>48</v>
      </c>
      <c r="F353" s="284">
        <v>2</v>
      </c>
      <c r="G353" s="291">
        <v>42.85</v>
      </c>
      <c r="H353" s="291">
        <f t="shared" si="111"/>
        <v>85.7</v>
      </c>
      <c r="I353" s="309">
        <f t="shared" si="107"/>
        <v>2.0939060839161556E-6</v>
      </c>
      <c r="J353" s="291"/>
      <c r="K353" s="291"/>
      <c r="L353" s="291"/>
      <c r="M353" s="291"/>
      <c r="N353" s="291"/>
      <c r="O353" s="291"/>
      <c r="P353" s="291"/>
      <c r="Q353" s="291"/>
      <c r="R353" s="306">
        <v>0</v>
      </c>
      <c r="S353" s="291">
        <f t="shared" si="112"/>
        <v>0</v>
      </c>
      <c r="T353" s="327">
        <f t="shared" si="108"/>
        <v>2</v>
      </c>
      <c r="U353" s="334">
        <f t="shared" si="109"/>
        <v>85.7</v>
      </c>
    </row>
    <row r="354" spans="1:21">
      <c r="A354" s="333" t="s">
        <v>3662</v>
      </c>
      <c r="B354" s="87" t="s">
        <v>1810</v>
      </c>
      <c r="C354" s="87" t="s">
        <v>2862</v>
      </c>
      <c r="D354" s="290" t="s">
        <v>743</v>
      </c>
      <c r="E354" s="87" t="s">
        <v>48</v>
      </c>
      <c r="F354" s="284">
        <v>79</v>
      </c>
      <c r="G354" s="291">
        <v>11.63</v>
      </c>
      <c r="H354" s="291">
        <f t="shared" si="111"/>
        <v>918.77</v>
      </c>
      <c r="I354" s="309">
        <f t="shared" si="107"/>
        <v>2.2448285796028545E-5</v>
      </c>
      <c r="J354" s="291"/>
      <c r="K354" s="291"/>
      <c r="L354" s="291"/>
      <c r="M354" s="291"/>
      <c r="N354" s="291"/>
      <c r="O354" s="291"/>
      <c r="P354" s="291"/>
      <c r="Q354" s="291"/>
      <c r="R354" s="306">
        <v>0</v>
      </c>
      <c r="S354" s="291">
        <f t="shared" si="112"/>
        <v>0</v>
      </c>
      <c r="T354" s="327">
        <f t="shared" si="108"/>
        <v>79</v>
      </c>
      <c r="U354" s="334">
        <f t="shared" si="109"/>
        <v>918.7700000000001</v>
      </c>
    </row>
    <row r="355" spans="1:21" ht="45">
      <c r="A355" s="333" t="s">
        <v>3663</v>
      </c>
      <c r="B355" s="87" t="s">
        <v>1810</v>
      </c>
      <c r="C355" s="87" t="s">
        <v>2863</v>
      </c>
      <c r="D355" s="290" t="s">
        <v>752</v>
      </c>
      <c r="E355" s="87" t="s">
        <v>48</v>
      </c>
      <c r="F355" s="284">
        <v>712</v>
      </c>
      <c r="G355" s="291">
        <v>30.33</v>
      </c>
      <c r="H355" s="291">
        <f t="shared" si="111"/>
        <v>21594.959999999999</v>
      </c>
      <c r="I355" s="309">
        <f t="shared" si="107"/>
        <v>5.2762914966074707E-4</v>
      </c>
      <c r="J355" s="291"/>
      <c r="K355" s="291"/>
      <c r="L355" s="291"/>
      <c r="M355" s="291"/>
      <c r="N355" s="291"/>
      <c r="O355" s="291"/>
      <c r="P355" s="291"/>
      <c r="Q355" s="291"/>
      <c r="R355" s="306">
        <v>0</v>
      </c>
      <c r="S355" s="291">
        <f t="shared" si="112"/>
        <v>0</v>
      </c>
      <c r="T355" s="327">
        <f t="shared" si="108"/>
        <v>712</v>
      </c>
      <c r="U355" s="334">
        <f t="shared" si="109"/>
        <v>21594.959999999999</v>
      </c>
    </row>
    <row r="356" spans="1:21" ht="30">
      <c r="A356" s="333" t="s">
        <v>3664</v>
      </c>
      <c r="B356" s="87" t="s">
        <v>1810</v>
      </c>
      <c r="C356" s="87" t="s">
        <v>2905</v>
      </c>
      <c r="D356" s="290" t="s">
        <v>2906</v>
      </c>
      <c r="E356" s="87" t="s">
        <v>107</v>
      </c>
      <c r="F356" s="284">
        <v>4327.1400000000003</v>
      </c>
      <c r="G356" s="291">
        <v>22.95</v>
      </c>
      <c r="H356" s="291">
        <f t="shared" si="111"/>
        <v>99307.86</v>
      </c>
      <c r="I356" s="309">
        <f t="shared" si="107"/>
        <v>2.4263866071726234E-3</v>
      </c>
      <c r="J356" s="291"/>
      <c r="K356" s="291"/>
      <c r="L356" s="291"/>
      <c r="M356" s="291"/>
      <c r="N356" s="291"/>
      <c r="O356" s="291"/>
      <c r="P356" s="291"/>
      <c r="Q356" s="291"/>
      <c r="R356" s="306">
        <v>0</v>
      </c>
      <c r="S356" s="291">
        <f t="shared" si="112"/>
        <v>0</v>
      </c>
      <c r="T356" s="327">
        <f t="shared" si="108"/>
        <v>4327.1400000000003</v>
      </c>
      <c r="U356" s="334">
        <f t="shared" si="109"/>
        <v>99307.862999999998</v>
      </c>
    </row>
    <row r="357" spans="1:21" ht="30">
      <c r="A357" s="333" t="s">
        <v>3665</v>
      </c>
      <c r="B357" s="87" t="s">
        <v>1810</v>
      </c>
      <c r="C357" s="87" t="s">
        <v>2907</v>
      </c>
      <c r="D357" s="290" t="s">
        <v>2908</v>
      </c>
      <c r="E357" s="87" t="s">
        <v>107</v>
      </c>
      <c r="F357" s="284">
        <v>695.81930000000011</v>
      </c>
      <c r="G357" s="291">
        <v>32.03</v>
      </c>
      <c r="H357" s="291">
        <f t="shared" si="111"/>
        <v>22287.09</v>
      </c>
      <c r="I357" s="309">
        <f t="shared" si="107"/>
        <v>5.4453994566845871E-4</v>
      </c>
      <c r="J357" s="291"/>
      <c r="K357" s="291"/>
      <c r="L357" s="291"/>
      <c r="M357" s="291"/>
      <c r="N357" s="291"/>
      <c r="O357" s="291"/>
      <c r="P357" s="291"/>
      <c r="Q357" s="291"/>
      <c r="R357" s="306">
        <v>0</v>
      </c>
      <c r="S357" s="291">
        <f t="shared" si="112"/>
        <v>0</v>
      </c>
      <c r="T357" s="327">
        <f t="shared" si="108"/>
        <v>695.81930000000011</v>
      </c>
      <c r="U357" s="334">
        <f t="shared" si="109"/>
        <v>22287.092179000003</v>
      </c>
    </row>
    <row r="358" spans="1:21" ht="30">
      <c r="A358" s="333" t="s">
        <v>3666</v>
      </c>
      <c r="B358" s="87" t="s">
        <v>1810</v>
      </c>
      <c r="C358" s="87" t="s">
        <v>2909</v>
      </c>
      <c r="D358" s="290" t="s">
        <v>2910</v>
      </c>
      <c r="E358" s="87" t="s">
        <v>107</v>
      </c>
      <c r="F358" s="284">
        <v>1475.7525000000001</v>
      </c>
      <c r="G358" s="291">
        <v>39.6</v>
      </c>
      <c r="H358" s="291">
        <f t="shared" si="111"/>
        <v>58439.8</v>
      </c>
      <c r="I358" s="309">
        <f t="shared" si="107"/>
        <v>1.4278582586096074E-3</v>
      </c>
      <c r="J358" s="291"/>
      <c r="K358" s="291"/>
      <c r="L358" s="291"/>
      <c r="M358" s="291"/>
      <c r="N358" s="291"/>
      <c r="O358" s="291"/>
      <c r="P358" s="291"/>
      <c r="Q358" s="291"/>
      <c r="R358" s="306">
        <v>0</v>
      </c>
      <c r="S358" s="291">
        <f t="shared" si="112"/>
        <v>0</v>
      </c>
      <c r="T358" s="327">
        <f t="shared" si="108"/>
        <v>1475.7525000000001</v>
      </c>
      <c r="U358" s="334">
        <f t="shared" si="109"/>
        <v>58439.799000000006</v>
      </c>
    </row>
    <row r="359" spans="1:21" ht="30">
      <c r="A359" s="333" t="s">
        <v>3667</v>
      </c>
      <c r="B359" s="87" t="s">
        <v>1810</v>
      </c>
      <c r="C359" s="87" t="s">
        <v>2911</v>
      </c>
      <c r="D359" s="290" t="s">
        <v>2912</v>
      </c>
      <c r="E359" s="87" t="s">
        <v>107</v>
      </c>
      <c r="F359" s="284">
        <v>2061.6831999999995</v>
      </c>
      <c r="G359" s="291">
        <v>448.85</v>
      </c>
      <c r="H359" s="291">
        <f t="shared" si="111"/>
        <v>925386.5</v>
      </c>
      <c r="I359" s="309">
        <f t="shared" si="107"/>
        <v>2.2609946584876049E-2</v>
      </c>
      <c r="J359" s="291"/>
      <c r="K359" s="291"/>
      <c r="L359" s="291"/>
      <c r="M359" s="291"/>
      <c r="N359" s="291"/>
      <c r="O359" s="291"/>
      <c r="P359" s="291"/>
      <c r="Q359" s="291"/>
      <c r="R359" s="306">
        <v>0</v>
      </c>
      <c r="S359" s="291">
        <f t="shared" si="112"/>
        <v>0</v>
      </c>
      <c r="T359" s="327">
        <f t="shared" si="108"/>
        <v>2061.6831999999995</v>
      </c>
      <c r="U359" s="334">
        <f t="shared" si="109"/>
        <v>925386.50431999983</v>
      </c>
    </row>
    <row r="360" spans="1:21" ht="30">
      <c r="A360" s="333" t="s">
        <v>3668</v>
      </c>
      <c r="B360" s="87" t="s">
        <v>1810</v>
      </c>
      <c r="C360" s="87" t="s">
        <v>2913</v>
      </c>
      <c r="D360" s="290" t="s">
        <v>2914</v>
      </c>
      <c r="E360" s="87" t="s">
        <v>107</v>
      </c>
      <c r="F360" s="284">
        <v>1543.2870999999998</v>
      </c>
      <c r="G360" s="291">
        <v>62.71</v>
      </c>
      <c r="H360" s="291">
        <f t="shared" si="111"/>
        <v>96779.53</v>
      </c>
      <c r="I360" s="309">
        <f t="shared" si="107"/>
        <v>2.3646119797613315E-3</v>
      </c>
      <c r="J360" s="291"/>
      <c r="K360" s="291"/>
      <c r="L360" s="291"/>
      <c r="M360" s="291"/>
      <c r="N360" s="291"/>
      <c r="O360" s="291"/>
      <c r="P360" s="291"/>
      <c r="Q360" s="291"/>
      <c r="R360" s="306">
        <v>0</v>
      </c>
      <c r="S360" s="291">
        <f t="shared" si="112"/>
        <v>0</v>
      </c>
      <c r="T360" s="327">
        <f t="shared" si="108"/>
        <v>1543.2870999999998</v>
      </c>
      <c r="U360" s="334">
        <f t="shared" si="109"/>
        <v>96779.534040999992</v>
      </c>
    </row>
    <row r="361" spans="1:21" ht="30">
      <c r="A361" s="333" t="s">
        <v>3669</v>
      </c>
      <c r="B361" s="87" t="s">
        <v>1810</v>
      </c>
      <c r="C361" s="87" t="s">
        <v>2915</v>
      </c>
      <c r="D361" s="290" t="s">
        <v>2916</v>
      </c>
      <c r="E361" s="87" t="s">
        <v>107</v>
      </c>
      <c r="F361" s="284">
        <v>1695.4851000000001</v>
      </c>
      <c r="G361" s="291">
        <v>71.87</v>
      </c>
      <c r="H361" s="291">
        <f t="shared" si="111"/>
        <v>121854.51</v>
      </c>
      <c r="I361" s="309">
        <f t="shared" si="107"/>
        <v>2.9772683762149593E-3</v>
      </c>
      <c r="J361" s="291"/>
      <c r="K361" s="291"/>
      <c r="L361" s="291"/>
      <c r="M361" s="291"/>
      <c r="N361" s="291"/>
      <c r="O361" s="291"/>
      <c r="P361" s="291"/>
      <c r="Q361" s="291"/>
      <c r="R361" s="306">
        <v>0</v>
      </c>
      <c r="S361" s="291">
        <f t="shared" si="112"/>
        <v>0</v>
      </c>
      <c r="T361" s="327">
        <f t="shared" si="108"/>
        <v>1695.4851000000001</v>
      </c>
      <c r="U361" s="334">
        <f t="shared" si="109"/>
        <v>121854.51413700002</v>
      </c>
    </row>
    <row r="362" spans="1:21" ht="30">
      <c r="A362" s="333" t="s">
        <v>3670</v>
      </c>
      <c r="B362" s="87" t="s">
        <v>1810</v>
      </c>
      <c r="C362" s="87" t="s">
        <v>2917</v>
      </c>
      <c r="D362" s="290" t="s">
        <v>2918</v>
      </c>
      <c r="E362" s="87" t="s">
        <v>107</v>
      </c>
      <c r="F362" s="284">
        <v>1475.1485</v>
      </c>
      <c r="G362" s="291">
        <v>16.66</v>
      </c>
      <c r="H362" s="291">
        <f t="shared" si="111"/>
        <v>24575.97</v>
      </c>
      <c r="I362" s="309">
        <f t="shared" si="107"/>
        <v>6.0046409686278796E-4</v>
      </c>
      <c r="J362" s="291"/>
      <c r="K362" s="291"/>
      <c r="L362" s="291"/>
      <c r="M362" s="291"/>
      <c r="N362" s="291"/>
      <c r="O362" s="291"/>
      <c r="P362" s="291"/>
      <c r="Q362" s="291"/>
      <c r="R362" s="306">
        <v>0</v>
      </c>
      <c r="S362" s="291">
        <f t="shared" si="112"/>
        <v>0</v>
      </c>
      <c r="T362" s="327">
        <f t="shared" si="108"/>
        <v>1475.1485</v>
      </c>
      <c r="U362" s="334">
        <f t="shared" si="109"/>
        <v>24575.974010000002</v>
      </c>
    </row>
    <row r="363" spans="1:21" ht="30">
      <c r="A363" s="333" t="s">
        <v>3671</v>
      </c>
      <c r="B363" s="87" t="s">
        <v>1810</v>
      </c>
      <c r="C363" s="87" t="s">
        <v>2919</v>
      </c>
      <c r="D363" s="290" t="s">
        <v>2920</v>
      </c>
      <c r="E363" s="87" t="s">
        <v>107</v>
      </c>
      <c r="F363" s="284">
        <v>376.12869999999998</v>
      </c>
      <c r="G363" s="291">
        <v>122.97</v>
      </c>
      <c r="H363" s="291">
        <f t="shared" si="111"/>
        <v>46252.55</v>
      </c>
      <c r="I363" s="309">
        <f t="shared" si="107"/>
        <v>1.1300874660634327E-3</v>
      </c>
      <c r="J363" s="291"/>
      <c r="K363" s="291"/>
      <c r="L363" s="291"/>
      <c r="M363" s="291"/>
      <c r="N363" s="291"/>
      <c r="O363" s="291"/>
      <c r="P363" s="291"/>
      <c r="Q363" s="291"/>
      <c r="R363" s="306">
        <v>0</v>
      </c>
      <c r="S363" s="291">
        <f t="shared" si="112"/>
        <v>0</v>
      </c>
      <c r="T363" s="327">
        <f t="shared" si="108"/>
        <v>376.12869999999998</v>
      </c>
      <c r="U363" s="334">
        <f t="shared" si="109"/>
        <v>46252.546238999996</v>
      </c>
    </row>
    <row r="364" spans="1:21" ht="30">
      <c r="A364" s="333" t="s">
        <v>3672</v>
      </c>
      <c r="B364" s="87" t="s">
        <v>1810</v>
      </c>
      <c r="C364" s="87" t="s">
        <v>2921</v>
      </c>
      <c r="D364" s="290" t="s">
        <v>2922</v>
      </c>
      <c r="E364" s="87" t="s">
        <v>107</v>
      </c>
      <c r="F364" s="284">
        <v>220.39600000000004</v>
      </c>
      <c r="G364" s="291">
        <v>139.16999999999999</v>
      </c>
      <c r="H364" s="291">
        <f t="shared" si="111"/>
        <v>30672.51</v>
      </c>
      <c r="I364" s="309">
        <f t="shared" si="107"/>
        <v>7.4942071526230012E-4</v>
      </c>
      <c r="J364" s="291"/>
      <c r="K364" s="291"/>
      <c r="L364" s="291"/>
      <c r="M364" s="291"/>
      <c r="N364" s="291"/>
      <c r="O364" s="291"/>
      <c r="P364" s="291"/>
      <c r="Q364" s="291"/>
      <c r="R364" s="306">
        <v>0</v>
      </c>
      <c r="S364" s="291">
        <f t="shared" si="112"/>
        <v>0</v>
      </c>
      <c r="T364" s="327">
        <f t="shared" si="108"/>
        <v>220.39600000000004</v>
      </c>
      <c r="U364" s="334">
        <f t="shared" si="109"/>
        <v>30672.511320000005</v>
      </c>
    </row>
    <row r="365" spans="1:21" ht="30">
      <c r="A365" s="333" t="s">
        <v>3673</v>
      </c>
      <c r="B365" s="87" t="s">
        <v>2603</v>
      </c>
      <c r="C365" s="87" t="s">
        <v>2923</v>
      </c>
      <c r="D365" s="290" t="s">
        <v>2924</v>
      </c>
      <c r="E365" s="87" t="s">
        <v>107</v>
      </c>
      <c r="F365" s="284">
        <v>760.49500000000012</v>
      </c>
      <c r="G365" s="291">
        <v>10.45</v>
      </c>
      <c r="H365" s="291">
        <f t="shared" si="111"/>
        <v>7947.17</v>
      </c>
      <c r="I365" s="309">
        <f t="shared" si="107"/>
        <v>1.9417301765362841E-4</v>
      </c>
      <c r="J365" s="291"/>
      <c r="K365" s="291"/>
      <c r="L365" s="291"/>
      <c r="M365" s="291"/>
      <c r="N365" s="291"/>
      <c r="O365" s="291"/>
      <c r="P365" s="291"/>
      <c r="Q365" s="291"/>
      <c r="R365" s="306">
        <v>0</v>
      </c>
      <c r="S365" s="291">
        <f t="shared" si="112"/>
        <v>0</v>
      </c>
      <c r="T365" s="327">
        <f t="shared" si="108"/>
        <v>760.49500000000012</v>
      </c>
      <c r="U365" s="334">
        <f t="shared" si="109"/>
        <v>7947.1727500000006</v>
      </c>
    </row>
    <row r="366" spans="1:21" ht="30">
      <c r="A366" s="333" t="s">
        <v>3674</v>
      </c>
      <c r="B366" s="87" t="s">
        <v>1810</v>
      </c>
      <c r="C366" s="87" t="s">
        <v>2925</v>
      </c>
      <c r="D366" s="290" t="s">
        <v>2926</v>
      </c>
      <c r="E366" s="87" t="s">
        <v>107</v>
      </c>
      <c r="F366" s="284">
        <v>710.01980000000003</v>
      </c>
      <c r="G366" s="291">
        <v>13.39</v>
      </c>
      <c r="H366" s="291">
        <f t="shared" si="111"/>
        <v>9507.17</v>
      </c>
      <c r="I366" s="309">
        <f t="shared" si="107"/>
        <v>2.3228846095478596E-4</v>
      </c>
      <c r="J366" s="291"/>
      <c r="K366" s="291"/>
      <c r="L366" s="291"/>
      <c r="M366" s="291"/>
      <c r="N366" s="291"/>
      <c r="O366" s="291"/>
      <c r="P366" s="291"/>
      <c r="Q366" s="291"/>
      <c r="R366" s="306">
        <v>0</v>
      </c>
      <c r="S366" s="291">
        <f t="shared" si="112"/>
        <v>0</v>
      </c>
      <c r="T366" s="327">
        <f t="shared" si="108"/>
        <v>710.01980000000003</v>
      </c>
      <c r="U366" s="334">
        <f t="shared" si="109"/>
        <v>9507.1651220000003</v>
      </c>
    </row>
    <row r="367" spans="1:21" ht="45">
      <c r="A367" s="333" t="s">
        <v>3675</v>
      </c>
      <c r="B367" s="87" t="s">
        <v>1810</v>
      </c>
      <c r="C367" s="87" t="s">
        <v>2927</v>
      </c>
      <c r="D367" s="290" t="s">
        <v>2928</v>
      </c>
      <c r="E367" s="87" t="s">
        <v>107</v>
      </c>
      <c r="F367" s="284">
        <v>9995.9603999999981</v>
      </c>
      <c r="G367" s="291">
        <v>7.61</v>
      </c>
      <c r="H367" s="291">
        <f t="shared" si="111"/>
        <v>76069.259999999995</v>
      </c>
      <c r="I367" s="309">
        <f t="shared" si="107"/>
        <v>1.8585984400583413E-3</v>
      </c>
      <c r="J367" s="291"/>
      <c r="K367" s="291"/>
      <c r="L367" s="291"/>
      <c r="M367" s="291"/>
      <c r="N367" s="291"/>
      <c r="O367" s="291"/>
      <c r="P367" s="291"/>
      <c r="Q367" s="291"/>
      <c r="R367" s="306">
        <v>0</v>
      </c>
      <c r="S367" s="291">
        <f t="shared" si="112"/>
        <v>0</v>
      </c>
      <c r="T367" s="327">
        <f t="shared" si="108"/>
        <v>9995.9603999999981</v>
      </c>
      <c r="U367" s="334">
        <f t="shared" si="109"/>
        <v>76069.258643999987</v>
      </c>
    </row>
    <row r="368" spans="1:21" ht="45">
      <c r="A368" s="333" t="s">
        <v>3676</v>
      </c>
      <c r="B368" s="87" t="s">
        <v>1810</v>
      </c>
      <c r="C368" s="87" t="s">
        <v>2929</v>
      </c>
      <c r="D368" s="290" t="s">
        <v>2930</v>
      </c>
      <c r="E368" s="87" t="s">
        <v>107</v>
      </c>
      <c r="F368" s="284">
        <v>340.3168</v>
      </c>
      <c r="G368" s="291">
        <v>21.46</v>
      </c>
      <c r="H368" s="291">
        <f t="shared" si="111"/>
        <v>7303.2</v>
      </c>
      <c r="I368" s="309">
        <f t="shared" si="107"/>
        <v>1.7843891379295762E-4</v>
      </c>
      <c r="J368" s="291"/>
      <c r="K368" s="291"/>
      <c r="L368" s="291"/>
      <c r="M368" s="291"/>
      <c r="N368" s="291"/>
      <c r="O368" s="291"/>
      <c r="P368" s="291"/>
      <c r="Q368" s="291"/>
      <c r="R368" s="306">
        <v>0</v>
      </c>
      <c r="S368" s="291">
        <f t="shared" si="112"/>
        <v>0</v>
      </c>
      <c r="T368" s="327">
        <f t="shared" si="108"/>
        <v>340.3168</v>
      </c>
      <c r="U368" s="334">
        <f t="shared" si="109"/>
        <v>7303.1985279999999</v>
      </c>
    </row>
    <row r="369" spans="1:21" ht="45">
      <c r="A369" s="333" t="s">
        <v>3677</v>
      </c>
      <c r="B369" s="87" t="s">
        <v>1810</v>
      </c>
      <c r="C369" s="87" t="s">
        <v>2931</v>
      </c>
      <c r="D369" s="290" t="s">
        <v>2932</v>
      </c>
      <c r="E369" s="87" t="s">
        <v>107</v>
      </c>
      <c r="F369" s="284">
        <v>19080.029699999999</v>
      </c>
      <c r="G369" s="291">
        <v>9.26</v>
      </c>
      <c r="H369" s="291">
        <f t="shared" si="111"/>
        <v>176681.08</v>
      </c>
      <c r="I369" s="309">
        <f t="shared" si="107"/>
        <v>4.3168446712354373E-3</v>
      </c>
      <c r="J369" s="291"/>
      <c r="K369" s="291"/>
      <c r="L369" s="291"/>
      <c r="M369" s="291"/>
      <c r="N369" s="291"/>
      <c r="O369" s="291"/>
      <c r="P369" s="291"/>
      <c r="Q369" s="291"/>
      <c r="R369" s="306">
        <v>0</v>
      </c>
      <c r="S369" s="291">
        <f t="shared" si="112"/>
        <v>0</v>
      </c>
      <c r="T369" s="327">
        <f t="shared" si="108"/>
        <v>19080.029699999999</v>
      </c>
      <c r="U369" s="334">
        <f t="shared" si="109"/>
        <v>176681.07502199998</v>
      </c>
    </row>
    <row r="370" spans="1:21" ht="45">
      <c r="A370" s="333" t="s">
        <v>3678</v>
      </c>
      <c r="B370" s="87" t="s">
        <v>1810</v>
      </c>
      <c r="C370" s="87" t="s">
        <v>2933</v>
      </c>
      <c r="D370" s="290" t="s">
        <v>2934</v>
      </c>
      <c r="E370" s="87" t="s">
        <v>107</v>
      </c>
      <c r="F370" s="284">
        <v>3235.2772</v>
      </c>
      <c r="G370" s="291">
        <v>11.44</v>
      </c>
      <c r="H370" s="291">
        <f t="shared" si="111"/>
        <v>37011.57</v>
      </c>
      <c r="I370" s="309">
        <f t="shared" si="107"/>
        <v>9.0430281911655383E-4</v>
      </c>
      <c r="J370" s="291"/>
      <c r="K370" s="291"/>
      <c r="L370" s="291"/>
      <c r="M370" s="291"/>
      <c r="N370" s="291"/>
      <c r="O370" s="291"/>
      <c r="P370" s="291"/>
      <c r="Q370" s="291"/>
      <c r="R370" s="306">
        <v>0</v>
      </c>
      <c r="S370" s="291">
        <f t="shared" si="112"/>
        <v>0</v>
      </c>
      <c r="T370" s="327">
        <f t="shared" si="108"/>
        <v>3235.2772</v>
      </c>
      <c r="U370" s="334">
        <f t="shared" si="109"/>
        <v>37011.571167999995</v>
      </c>
    </row>
    <row r="371" spans="1:21" ht="45">
      <c r="A371" s="333" t="s">
        <v>3679</v>
      </c>
      <c r="B371" s="87" t="s">
        <v>1810</v>
      </c>
      <c r="C371" s="87" t="s">
        <v>2935</v>
      </c>
      <c r="D371" s="290" t="s">
        <v>2936</v>
      </c>
      <c r="E371" s="87" t="s">
        <v>107</v>
      </c>
      <c r="F371" s="284">
        <v>1250.3069</v>
      </c>
      <c r="G371" s="291">
        <v>15.14</v>
      </c>
      <c r="H371" s="291">
        <f t="shared" si="111"/>
        <v>18929.650000000001</v>
      </c>
      <c r="I371" s="309">
        <f t="shared" si="107"/>
        <v>4.6250769313189565E-4</v>
      </c>
      <c r="J371" s="291"/>
      <c r="K371" s="291"/>
      <c r="L371" s="291"/>
      <c r="M371" s="291"/>
      <c r="N371" s="291"/>
      <c r="O371" s="291"/>
      <c r="P371" s="291"/>
      <c r="Q371" s="291"/>
      <c r="R371" s="306">
        <v>0</v>
      </c>
      <c r="S371" s="291">
        <f t="shared" si="112"/>
        <v>0</v>
      </c>
      <c r="T371" s="327">
        <f t="shared" si="108"/>
        <v>1250.3069</v>
      </c>
      <c r="U371" s="334">
        <f t="shared" si="109"/>
        <v>18929.646466000002</v>
      </c>
    </row>
    <row r="372" spans="1:21" ht="30">
      <c r="A372" s="333" t="s">
        <v>3680</v>
      </c>
      <c r="B372" s="87" t="s">
        <v>1810</v>
      </c>
      <c r="C372" s="87" t="s">
        <v>2868</v>
      </c>
      <c r="D372" s="290" t="s">
        <v>755</v>
      </c>
      <c r="E372" s="87" t="s">
        <v>48</v>
      </c>
      <c r="F372" s="284">
        <v>53</v>
      </c>
      <c r="G372" s="291">
        <v>92.58</v>
      </c>
      <c r="H372" s="291">
        <f t="shared" si="111"/>
        <v>4906.74</v>
      </c>
      <c r="I372" s="309">
        <f t="shared" si="107"/>
        <v>1.1988626298943707E-4</v>
      </c>
      <c r="J372" s="291"/>
      <c r="K372" s="291"/>
      <c r="L372" s="291"/>
      <c r="M372" s="291"/>
      <c r="N372" s="291"/>
      <c r="O372" s="291"/>
      <c r="P372" s="291"/>
      <c r="Q372" s="291"/>
      <c r="R372" s="306">
        <v>0</v>
      </c>
      <c r="S372" s="291">
        <f t="shared" si="112"/>
        <v>0</v>
      </c>
      <c r="T372" s="327">
        <f t="shared" si="108"/>
        <v>53</v>
      </c>
      <c r="U372" s="334">
        <f t="shared" si="109"/>
        <v>4906.74</v>
      </c>
    </row>
    <row r="373" spans="1:21" ht="60">
      <c r="A373" s="333" t="s">
        <v>3681</v>
      </c>
      <c r="B373" s="87" t="s">
        <v>1810</v>
      </c>
      <c r="C373" s="87" t="s">
        <v>2937</v>
      </c>
      <c r="D373" s="290" t="s">
        <v>2938</v>
      </c>
      <c r="E373" s="87" t="s">
        <v>107</v>
      </c>
      <c r="F373" s="284">
        <v>10</v>
      </c>
      <c r="G373" s="291">
        <v>342.88</v>
      </c>
      <c r="H373" s="291">
        <f t="shared" si="111"/>
        <v>3428.8</v>
      </c>
      <c r="I373" s="309">
        <f t="shared" si="107"/>
        <v>8.3775789737826312E-5</v>
      </c>
      <c r="J373" s="291"/>
      <c r="K373" s="291"/>
      <c r="L373" s="291"/>
      <c r="M373" s="291"/>
      <c r="N373" s="291"/>
      <c r="O373" s="291"/>
      <c r="P373" s="291"/>
      <c r="Q373" s="291"/>
      <c r="R373" s="306">
        <v>0</v>
      </c>
      <c r="S373" s="291">
        <f t="shared" si="112"/>
        <v>0</v>
      </c>
      <c r="T373" s="327">
        <f t="shared" si="108"/>
        <v>10</v>
      </c>
      <c r="U373" s="334">
        <f t="shared" si="109"/>
        <v>3428.8</v>
      </c>
    </row>
    <row r="374" spans="1:21" ht="30">
      <c r="A374" s="333" t="s">
        <v>3682</v>
      </c>
      <c r="B374" s="87" t="s">
        <v>1810</v>
      </c>
      <c r="C374" s="87" t="s">
        <v>2869</v>
      </c>
      <c r="D374" s="290" t="s">
        <v>758</v>
      </c>
      <c r="E374" s="87" t="s">
        <v>48</v>
      </c>
      <c r="F374" s="284">
        <v>16</v>
      </c>
      <c r="G374" s="291">
        <v>177.39</v>
      </c>
      <c r="H374" s="291">
        <f t="shared" si="111"/>
        <v>2838.24</v>
      </c>
      <c r="I374" s="309">
        <f t="shared" si="107"/>
        <v>6.9346651150690655E-5</v>
      </c>
      <c r="J374" s="291"/>
      <c r="K374" s="291"/>
      <c r="L374" s="291"/>
      <c r="M374" s="291"/>
      <c r="N374" s="291"/>
      <c r="O374" s="291"/>
      <c r="P374" s="291"/>
      <c r="Q374" s="291"/>
      <c r="R374" s="306">
        <v>0</v>
      </c>
      <c r="S374" s="291">
        <f t="shared" si="112"/>
        <v>0</v>
      </c>
      <c r="T374" s="327">
        <f t="shared" si="108"/>
        <v>16</v>
      </c>
      <c r="U374" s="334">
        <f t="shared" si="109"/>
        <v>2838.24</v>
      </c>
    </row>
    <row r="375" spans="1:21" ht="30">
      <c r="A375" s="333" t="s">
        <v>3683</v>
      </c>
      <c r="B375" s="87" t="s">
        <v>1810</v>
      </c>
      <c r="C375" s="87" t="s">
        <v>2870</v>
      </c>
      <c r="D375" s="290" t="s">
        <v>1282</v>
      </c>
      <c r="E375" s="87" t="s">
        <v>48</v>
      </c>
      <c r="F375" s="284">
        <v>1</v>
      </c>
      <c r="G375" s="291">
        <v>250.48</v>
      </c>
      <c r="H375" s="291">
        <f t="shared" si="111"/>
        <v>250.48</v>
      </c>
      <c r="I375" s="309">
        <f t="shared" si="107"/>
        <v>6.1199719474832982E-6</v>
      </c>
      <c r="J375" s="291"/>
      <c r="K375" s="291"/>
      <c r="L375" s="291"/>
      <c r="M375" s="291"/>
      <c r="N375" s="291"/>
      <c r="O375" s="291"/>
      <c r="P375" s="291"/>
      <c r="Q375" s="291"/>
      <c r="R375" s="306">
        <v>0</v>
      </c>
      <c r="S375" s="291">
        <f t="shared" si="112"/>
        <v>0</v>
      </c>
      <c r="T375" s="327">
        <f t="shared" si="108"/>
        <v>1</v>
      </c>
      <c r="U375" s="334">
        <f t="shared" si="109"/>
        <v>250.48</v>
      </c>
    </row>
    <row r="376" spans="1:21" ht="45">
      <c r="A376" s="333" t="s">
        <v>3684</v>
      </c>
      <c r="B376" s="87" t="s">
        <v>1810</v>
      </c>
      <c r="C376" s="87" t="s">
        <v>2939</v>
      </c>
      <c r="D376" s="290" t="s">
        <v>2940</v>
      </c>
      <c r="E376" s="87" t="s">
        <v>48</v>
      </c>
      <c r="F376" s="284">
        <v>21</v>
      </c>
      <c r="G376" s="291">
        <v>45.36</v>
      </c>
      <c r="H376" s="291">
        <f t="shared" si="111"/>
        <v>952.56</v>
      </c>
      <c r="I376" s="309">
        <f t="shared" si="107"/>
        <v>2.3273876071122208E-5</v>
      </c>
      <c r="J376" s="291"/>
      <c r="K376" s="291"/>
      <c r="L376" s="291"/>
      <c r="M376" s="291"/>
      <c r="N376" s="291"/>
      <c r="O376" s="291"/>
      <c r="P376" s="291"/>
      <c r="Q376" s="291"/>
      <c r="R376" s="306">
        <v>0</v>
      </c>
      <c r="S376" s="291">
        <f t="shared" si="112"/>
        <v>0</v>
      </c>
      <c r="T376" s="327">
        <f t="shared" si="108"/>
        <v>21</v>
      </c>
      <c r="U376" s="334">
        <f t="shared" si="109"/>
        <v>952.56</v>
      </c>
    </row>
    <row r="377" spans="1:21" ht="60">
      <c r="A377" s="333" t="s">
        <v>3685</v>
      </c>
      <c r="B377" s="87" t="s">
        <v>1810</v>
      </c>
      <c r="C377" s="87" t="s">
        <v>2941</v>
      </c>
      <c r="D377" s="290" t="s">
        <v>1876</v>
      </c>
      <c r="E377" s="87" t="s">
        <v>48</v>
      </c>
      <c r="F377" s="284">
        <v>705</v>
      </c>
      <c r="G377" s="291">
        <v>283.12</v>
      </c>
      <c r="H377" s="291">
        <f t="shared" si="111"/>
        <v>199599.6</v>
      </c>
      <c r="I377" s="309">
        <f t="shared" si="107"/>
        <v>4.87681233123957E-3</v>
      </c>
      <c r="J377" s="291"/>
      <c r="K377" s="291"/>
      <c r="L377" s="291"/>
      <c r="M377" s="291"/>
      <c r="N377" s="291"/>
      <c r="O377" s="291"/>
      <c r="P377" s="291"/>
      <c r="Q377" s="291"/>
      <c r="R377" s="306">
        <v>0</v>
      </c>
      <c r="S377" s="291">
        <f t="shared" si="112"/>
        <v>0</v>
      </c>
      <c r="T377" s="327">
        <f t="shared" si="108"/>
        <v>705</v>
      </c>
      <c r="U377" s="334">
        <f t="shared" si="109"/>
        <v>199599.6</v>
      </c>
    </row>
    <row r="378" spans="1:21" ht="60">
      <c r="A378" s="333" t="s">
        <v>3686</v>
      </c>
      <c r="B378" s="87" t="s">
        <v>1810</v>
      </c>
      <c r="C378" s="87" t="s">
        <v>2942</v>
      </c>
      <c r="D378" s="290" t="s">
        <v>2943</v>
      </c>
      <c r="E378" s="87" t="s">
        <v>48</v>
      </c>
      <c r="F378" s="284">
        <v>34</v>
      </c>
      <c r="G378" s="291">
        <v>475.08</v>
      </c>
      <c r="H378" s="291">
        <f t="shared" si="111"/>
        <v>16152.72</v>
      </c>
      <c r="I378" s="309">
        <f t="shared" si="107"/>
        <v>3.9465902776889342E-4</v>
      </c>
      <c r="J378" s="291"/>
      <c r="K378" s="291"/>
      <c r="L378" s="291"/>
      <c r="M378" s="291"/>
      <c r="N378" s="291"/>
      <c r="O378" s="291"/>
      <c r="P378" s="291"/>
      <c r="Q378" s="291"/>
      <c r="R378" s="306">
        <v>0</v>
      </c>
      <c r="S378" s="291">
        <f t="shared" si="112"/>
        <v>0</v>
      </c>
      <c r="T378" s="327">
        <f t="shared" si="108"/>
        <v>34</v>
      </c>
      <c r="U378" s="334">
        <f t="shared" si="109"/>
        <v>16152.72</v>
      </c>
    </row>
    <row r="379" spans="1:21" ht="60">
      <c r="A379" s="333" t="s">
        <v>3687</v>
      </c>
      <c r="B379" s="87" t="s">
        <v>1810</v>
      </c>
      <c r="C379" s="87" t="s">
        <v>2944</v>
      </c>
      <c r="D379" s="290" t="s">
        <v>2945</v>
      </c>
      <c r="E379" s="87" t="s">
        <v>48</v>
      </c>
      <c r="F379" s="284">
        <v>103</v>
      </c>
      <c r="G379" s="291">
        <v>251.75</v>
      </c>
      <c r="H379" s="291">
        <f t="shared" si="111"/>
        <v>25930.25</v>
      </c>
      <c r="I379" s="309">
        <f t="shared" si="107"/>
        <v>6.3355318824348766E-4</v>
      </c>
      <c r="J379" s="291"/>
      <c r="K379" s="291"/>
      <c r="L379" s="291"/>
      <c r="M379" s="291"/>
      <c r="N379" s="291"/>
      <c r="O379" s="291"/>
      <c r="P379" s="291"/>
      <c r="Q379" s="291"/>
      <c r="R379" s="306">
        <v>0</v>
      </c>
      <c r="S379" s="291">
        <f t="shared" si="112"/>
        <v>0</v>
      </c>
      <c r="T379" s="327">
        <f t="shared" si="108"/>
        <v>103</v>
      </c>
      <c r="U379" s="334">
        <f t="shared" si="109"/>
        <v>25930.25</v>
      </c>
    </row>
    <row r="380" spans="1:21" ht="45">
      <c r="A380" s="333" t="s">
        <v>3688</v>
      </c>
      <c r="B380" s="87" t="s">
        <v>1810</v>
      </c>
      <c r="C380" s="87" t="s">
        <v>2946</v>
      </c>
      <c r="D380" s="290" t="s">
        <v>2947</v>
      </c>
      <c r="E380" s="87" t="s">
        <v>48</v>
      </c>
      <c r="F380" s="284">
        <v>27</v>
      </c>
      <c r="G380" s="291">
        <v>610.16999999999996</v>
      </c>
      <c r="H380" s="291">
        <f t="shared" si="111"/>
        <v>16474.59</v>
      </c>
      <c r="I380" s="309">
        <f t="shared" si="107"/>
        <v>4.0252326990693416E-4</v>
      </c>
      <c r="J380" s="291"/>
      <c r="K380" s="291"/>
      <c r="L380" s="291"/>
      <c r="M380" s="291"/>
      <c r="N380" s="291"/>
      <c r="O380" s="291"/>
      <c r="P380" s="291"/>
      <c r="Q380" s="291"/>
      <c r="R380" s="306">
        <v>0</v>
      </c>
      <c r="S380" s="291">
        <f t="shared" si="112"/>
        <v>0</v>
      </c>
      <c r="T380" s="327">
        <f t="shared" si="108"/>
        <v>27</v>
      </c>
      <c r="U380" s="334">
        <f t="shared" si="109"/>
        <v>16474.59</v>
      </c>
    </row>
    <row r="381" spans="1:21" ht="45">
      <c r="A381" s="333" t="s">
        <v>3689</v>
      </c>
      <c r="B381" s="87" t="s">
        <v>1810</v>
      </c>
      <c r="C381" s="87" t="s">
        <v>2948</v>
      </c>
      <c r="D381" s="290" t="s">
        <v>2949</v>
      </c>
      <c r="E381" s="87" t="s">
        <v>48</v>
      </c>
      <c r="F381" s="284">
        <v>4</v>
      </c>
      <c r="G381" s="291">
        <v>610.16999999999996</v>
      </c>
      <c r="H381" s="291">
        <f t="shared" si="111"/>
        <v>2440.6799999999998</v>
      </c>
      <c r="I381" s="309">
        <f t="shared" si="107"/>
        <v>5.9633077023249503E-5</v>
      </c>
      <c r="J381" s="291"/>
      <c r="K381" s="291"/>
      <c r="L381" s="291"/>
      <c r="M381" s="291"/>
      <c r="N381" s="291"/>
      <c r="O381" s="291"/>
      <c r="P381" s="291"/>
      <c r="Q381" s="291"/>
      <c r="R381" s="306">
        <v>0</v>
      </c>
      <c r="S381" s="291">
        <f t="shared" si="112"/>
        <v>0</v>
      </c>
      <c r="T381" s="327">
        <f t="shared" si="108"/>
        <v>4</v>
      </c>
      <c r="U381" s="334">
        <f t="shared" si="109"/>
        <v>2440.6799999999998</v>
      </c>
    </row>
    <row r="382" spans="1:21" ht="30">
      <c r="A382" s="333" t="s">
        <v>3690</v>
      </c>
      <c r="B382" s="87" t="s">
        <v>133</v>
      </c>
      <c r="C382" s="87" t="s">
        <v>2950</v>
      </c>
      <c r="D382" s="290" t="s">
        <v>2951</v>
      </c>
      <c r="E382" s="87" t="s">
        <v>48</v>
      </c>
      <c r="F382" s="284">
        <v>2</v>
      </c>
      <c r="G382" s="291">
        <v>5127.04</v>
      </c>
      <c r="H382" s="291">
        <f t="shared" si="111"/>
        <v>10254.08</v>
      </c>
      <c r="I382" s="309">
        <f t="shared" si="107"/>
        <v>2.5053769541380364E-4</v>
      </c>
      <c r="J382" s="291"/>
      <c r="K382" s="291"/>
      <c r="L382" s="291"/>
      <c r="M382" s="291"/>
      <c r="N382" s="291"/>
      <c r="O382" s="291"/>
      <c r="P382" s="291"/>
      <c r="Q382" s="291"/>
      <c r="R382" s="306">
        <v>0</v>
      </c>
      <c r="S382" s="291">
        <f t="shared" si="112"/>
        <v>0</v>
      </c>
      <c r="T382" s="327">
        <f t="shared" si="108"/>
        <v>2</v>
      </c>
      <c r="U382" s="334">
        <f t="shared" si="109"/>
        <v>10254.08</v>
      </c>
    </row>
    <row r="383" spans="1:21" ht="30">
      <c r="A383" s="333" t="s">
        <v>3691</v>
      </c>
      <c r="B383" s="87" t="s">
        <v>1810</v>
      </c>
      <c r="C383" s="87" t="s">
        <v>2952</v>
      </c>
      <c r="D383" s="290" t="s">
        <v>2953</v>
      </c>
      <c r="E383" s="87" t="s">
        <v>48</v>
      </c>
      <c r="F383" s="284">
        <v>6</v>
      </c>
      <c r="G383" s="291">
        <v>113.95</v>
      </c>
      <c r="H383" s="291">
        <f t="shared" si="111"/>
        <v>683.7</v>
      </c>
      <c r="I383" s="309">
        <f t="shared" si="107"/>
        <v>1.6704826016026555E-5</v>
      </c>
      <c r="J383" s="291"/>
      <c r="K383" s="291"/>
      <c r="L383" s="291"/>
      <c r="M383" s="291"/>
      <c r="N383" s="291"/>
      <c r="O383" s="291"/>
      <c r="P383" s="291"/>
      <c r="Q383" s="291"/>
      <c r="R383" s="306">
        <v>0</v>
      </c>
      <c r="S383" s="291">
        <f t="shared" si="112"/>
        <v>0</v>
      </c>
      <c r="T383" s="327">
        <f t="shared" si="108"/>
        <v>6</v>
      </c>
      <c r="U383" s="334">
        <f t="shared" si="109"/>
        <v>683.7</v>
      </c>
    </row>
    <row r="384" spans="1:21" ht="30">
      <c r="A384" s="333" t="s">
        <v>3692</v>
      </c>
      <c r="B384" s="87" t="s">
        <v>1810</v>
      </c>
      <c r="C384" s="87" t="s">
        <v>2954</v>
      </c>
      <c r="D384" s="290" t="s">
        <v>2955</v>
      </c>
      <c r="E384" s="87" t="s">
        <v>48</v>
      </c>
      <c r="F384" s="284">
        <v>4</v>
      </c>
      <c r="G384" s="291">
        <v>75.95</v>
      </c>
      <c r="H384" s="291">
        <f t="shared" si="111"/>
        <v>303.8</v>
      </c>
      <c r="I384" s="309">
        <f t="shared" si="107"/>
        <v>7.4227382531356835E-6</v>
      </c>
      <c r="J384" s="291"/>
      <c r="K384" s="291"/>
      <c r="L384" s="291"/>
      <c r="M384" s="291"/>
      <c r="N384" s="291"/>
      <c r="O384" s="291"/>
      <c r="P384" s="291"/>
      <c r="Q384" s="291"/>
      <c r="R384" s="306">
        <v>0</v>
      </c>
      <c r="S384" s="291">
        <f t="shared" si="112"/>
        <v>0</v>
      </c>
      <c r="T384" s="327">
        <f t="shared" si="108"/>
        <v>4</v>
      </c>
      <c r="U384" s="334">
        <f t="shared" si="109"/>
        <v>303.8</v>
      </c>
    </row>
    <row r="385" spans="1:21" ht="30">
      <c r="A385" s="333" t="s">
        <v>3693</v>
      </c>
      <c r="B385" s="87" t="s">
        <v>1810</v>
      </c>
      <c r="C385" s="87" t="s">
        <v>2956</v>
      </c>
      <c r="D385" s="290" t="s">
        <v>2957</v>
      </c>
      <c r="E385" s="87" t="s">
        <v>48</v>
      </c>
      <c r="F385" s="284">
        <v>4</v>
      </c>
      <c r="G385" s="291">
        <v>75.95</v>
      </c>
      <c r="H385" s="291">
        <f t="shared" si="111"/>
        <v>303.8</v>
      </c>
      <c r="I385" s="309">
        <f t="shared" si="107"/>
        <v>7.4227382531356835E-6</v>
      </c>
      <c r="J385" s="291"/>
      <c r="K385" s="291"/>
      <c r="L385" s="291"/>
      <c r="M385" s="291"/>
      <c r="N385" s="291"/>
      <c r="O385" s="291"/>
      <c r="P385" s="291"/>
      <c r="Q385" s="291"/>
      <c r="R385" s="306">
        <v>0</v>
      </c>
      <c r="S385" s="291">
        <f t="shared" si="112"/>
        <v>0</v>
      </c>
      <c r="T385" s="327">
        <f t="shared" si="108"/>
        <v>4</v>
      </c>
      <c r="U385" s="334">
        <f t="shared" si="109"/>
        <v>303.8</v>
      </c>
    </row>
    <row r="386" spans="1:21" ht="30">
      <c r="A386" s="333" t="s">
        <v>3694</v>
      </c>
      <c r="B386" s="87" t="s">
        <v>1810</v>
      </c>
      <c r="C386" s="87" t="s">
        <v>2958</v>
      </c>
      <c r="D386" s="290" t="s">
        <v>2959</v>
      </c>
      <c r="E386" s="87" t="s">
        <v>48</v>
      </c>
      <c r="F386" s="284">
        <v>6</v>
      </c>
      <c r="G386" s="291">
        <v>79.91</v>
      </c>
      <c r="H386" s="291">
        <f t="shared" si="111"/>
        <v>479.46</v>
      </c>
      <c r="I386" s="309">
        <f t="shared" si="107"/>
        <v>1.1714634900751925E-5</v>
      </c>
      <c r="J386" s="291"/>
      <c r="K386" s="291"/>
      <c r="L386" s="291"/>
      <c r="M386" s="291"/>
      <c r="N386" s="291"/>
      <c r="O386" s="291"/>
      <c r="P386" s="291"/>
      <c r="Q386" s="291"/>
      <c r="R386" s="306">
        <v>0</v>
      </c>
      <c r="S386" s="291">
        <f t="shared" si="112"/>
        <v>0</v>
      </c>
      <c r="T386" s="327">
        <f t="shared" si="108"/>
        <v>6</v>
      </c>
      <c r="U386" s="334">
        <f t="shared" si="109"/>
        <v>479.46</v>
      </c>
    </row>
    <row r="387" spans="1:21" ht="30">
      <c r="A387" s="333" t="s">
        <v>3695</v>
      </c>
      <c r="B387" s="87" t="s">
        <v>1810</v>
      </c>
      <c r="C387" s="87" t="s">
        <v>2960</v>
      </c>
      <c r="D387" s="290" t="s">
        <v>2961</v>
      </c>
      <c r="E387" s="87" t="s">
        <v>48</v>
      </c>
      <c r="F387" s="284">
        <v>1</v>
      </c>
      <c r="G387" s="291">
        <v>85.05</v>
      </c>
      <c r="H387" s="291">
        <f t="shared" si="111"/>
        <v>85.05</v>
      </c>
      <c r="I387" s="309">
        <f t="shared" si="107"/>
        <v>2.0780246492073399E-6</v>
      </c>
      <c r="J387" s="291"/>
      <c r="K387" s="291"/>
      <c r="L387" s="291"/>
      <c r="M387" s="291"/>
      <c r="N387" s="291"/>
      <c r="O387" s="291"/>
      <c r="P387" s="291"/>
      <c r="Q387" s="291"/>
      <c r="R387" s="306">
        <v>0</v>
      </c>
      <c r="S387" s="291">
        <f t="shared" si="112"/>
        <v>0</v>
      </c>
      <c r="T387" s="327">
        <f t="shared" si="108"/>
        <v>1</v>
      </c>
      <c r="U387" s="334">
        <f t="shared" si="109"/>
        <v>85.05</v>
      </c>
    </row>
    <row r="388" spans="1:21" ht="30">
      <c r="A388" s="333" t="s">
        <v>3696</v>
      </c>
      <c r="B388" s="87" t="s">
        <v>1810</v>
      </c>
      <c r="C388" s="87" t="s">
        <v>2962</v>
      </c>
      <c r="D388" s="290" t="s">
        <v>2963</v>
      </c>
      <c r="E388" s="87" t="s">
        <v>48</v>
      </c>
      <c r="F388" s="284">
        <v>20</v>
      </c>
      <c r="G388" s="291">
        <v>109.1</v>
      </c>
      <c r="H388" s="291">
        <f t="shared" si="111"/>
        <v>2182</v>
      </c>
      <c r="I388" s="309">
        <f t="shared" si="107"/>
        <v>5.3312754668670383E-5</v>
      </c>
      <c r="J388" s="291"/>
      <c r="K388" s="291"/>
      <c r="L388" s="291"/>
      <c r="M388" s="291"/>
      <c r="N388" s="291"/>
      <c r="O388" s="291"/>
      <c r="P388" s="291"/>
      <c r="Q388" s="291"/>
      <c r="R388" s="306">
        <v>0</v>
      </c>
      <c r="S388" s="291">
        <f t="shared" si="112"/>
        <v>0</v>
      </c>
      <c r="T388" s="327">
        <f t="shared" si="108"/>
        <v>20</v>
      </c>
      <c r="U388" s="334">
        <f t="shared" si="109"/>
        <v>2182</v>
      </c>
    </row>
    <row r="389" spans="1:21" ht="30">
      <c r="A389" s="333" t="s">
        <v>3697</v>
      </c>
      <c r="B389" s="87" t="s">
        <v>1810</v>
      </c>
      <c r="C389" s="87" t="s">
        <v>2964</v>
      </c>
      <c r="D389" s="290" t="s">
        <v>2965</v>
      </c>
      <c r="E389" s="87" t="s">
        <v>48</v>
      </c>
      <c r="F389" s="284">
        <v>9</v>
      </c>
      <c r="G389" s="291">
        <v>112.62</v>
      </c>
      <c r="H389" s="291">
        <f t="shared" si="111"/>
        <v>1013.58</v>
      </c>
      <c r="I389" s="309">
        <f t="shared" si="107"/>
        <v>2.4764776295632871E-5</v>
      </c>
      <c r="J389" s="291"/>
      <c r="K389" s="291"/>
      <c r="L389" s="291"/>
      <c r="M389" s="291"/>
      <c r="N389" s="291"/>
      <c r="O389" s="291"/>
      <c r="P389" s="291"/>
      <c r="Q389" s="291"/>
      <c r="R389" s="306">
        <v>0</v>
      </c>
      <c r="S389" s="291">
        <f t="shared" si="112"/>
        <v>0</v>
      </c>
      <c r="T389" s="327">
        <f t="shared" si="108"/>
        <v>9</v>
      </c>
      <c r="U389" s="334">
        <f t="shared" si="109"/>
        <v>1013.58</v>
      </c>
    </row>
    <row r="390" spans="1:21" ht="30">
      <c r="A390" s="333" t="s">
        <v>3698</v>
      </c>
      <c r="B390" s="87" t="s">
        <v>1810</v>
      </c>
      <c r="C390" s="87" t="s">
        <v>2966</v>
      </c>
      <c r="D390" s="290" t="s">
        <v>2967</v>
      </c>
      <c r="E390" s="87" t="s">
        <v>48</v>
      </c>
      <c r="F390" s="284">
        <v>4</v>
      </c>
      <c r="G390" s="291">
        <v>112.62</v>
      </c>
      <c r="H390" s="291">
        <f t="shared" si="111"/>
        <v>450.48</v>
      </c>
      <c r="I390" s="309">
        <f t="shared" si="107"/>
        <v>1.1006567242503499E-5</v>
      </c>
      <c r="J390" s="291"/>
      <c r="K390" s="291"/>
      <c r="L390" s="291"/>
      <c r="M390" s="291"/>
      <c r="N390" s="291"/>
      <c r="O390" s="291"/>
      <c r="P390" s="291"/>
      <c r="Q390" s="291"/>
      <c r="R390" s="306">
        <v>0</v>
      </c>
      <c r="S390" s="291">
        <f t="shared" si="112"/>
        <v>0</v>
      </c>
      <c r="T390" s="327">
        <f t="shared" si="108"/>
        <v>4</v>
      </c>
      <c r="U390" s="334">
        <f t="shared" si="109"/>
        <v>450.48</v>
      </c>
    </row>
    <row r="391" spans="1:21" ht="30">
      <c r="A391" s="333" t="s">
        <v>3699</v>
      </c>
      <c r="B391" s="87" t="s">
        <v>1810</v>
      </c>
      <c r="C391" s="87" t="s">
        <v>2968</v>
      </c>
      <c r="D391" s="290" t="s">
        <v>2969</v>
      </c>
      <c r="E391" s="87" t="s">
        <v>48</v>
      </c>
      <c r="F391" s="284">
        <v>2</v>
      </c>
      <c r="G391" s="291">
        <v>227.49</v>
      </c>
      <c r="H391" s="291">
        <f t="shared" si="111"/>
        <v>454.98</v>
      </c>
      <c r="I391" s="309">
        <f t="shared" si="107"/>
        <v>1.1116515636641453E-5</v>
      </c>
      <c r="J391" s="291"/>
      <c r="K391" s="291"/>
      <c r="L391" s="291"/>
      <c r="M391" s="291"/>
      <c r="N391" s="291"/>
      <c r="O391" s="291"/>
      <c r="P391" s="291"/>
      <c r="Q391" s="291"/>
      <c r="R391" s="306">
        <v>0</v>
      </c>
      <c r="S391" s="291">
        <f t="shared" si="112"/>
        <v>0</v>
      </c>
      <c r="T391" s="327">
        <f t="shared" si="108"/>
        <v>2</v>
      </c>
      <c r="U391" s="334">
        <f t="shared" si="109"/>
        <v>454.98</v>
      </c>
    </row>
    <row r="392" spans="1:21" ht="43.5" customHeight="1">
      <c r="A392" s="333" t="s">
        <v>3700</v>
      </c>
      <c r="B392" s="87" t="s">
        <v>1810</v>
      </c>
      <c r="C392" s="87" t="s">
        <v>2970</v>
      </c>
      <c r="D392" s="290" t="s">
        <v>2971</v>
      </c>
      <c r="E392" s="87" t="s">
        <v>48</v>
      </c>
      <c r="F392" s="284">
        <v>14</v>
      </c>
      <c r="G392" s="291">
        <v>29.64</v>
      </c>
      <c r="H392" s="291">
        <f t="shared" si="111"/>
        <v>414.96</v>
      </c>
      <c r="I392" s="309">
        <f t="shared" si="107"/>
        <v>1.013870791810791E-5</v>
      </c>
      <c r="J392" s="291"/>
      <c r="K392" s="291"/>
      <c r="L392" s="291"/>
      <c r="M392" s="291"/>
      <c r="N392" s="291"/>
      <c r="O392" s="291"/>
      <c r="P392" s="291"/>
      <c r="Q392" s="291"/>
      <c r="R392" s="306">
        <v>0</v>
      </c>
      <c r="S392" s="291">
        <f t="shared" si="112"/>
        <v>0</v>
      </c>
      <c r="T392" s="327">
        <f t="shared" si="108"/>
        <v>14</v>
      </c>
      <c r="U392" s="334">
        <f t="shared" si="109"/>
        <v>414.96000000000004</v>
      </c>
    </row>
    <row r="393" spans="1:21" ht="48" customHeight="1">
      <c r="A393" s="333" t="s">
        <v>3701</v>
      </c>
      <c r="B393" s="87" t="s">
        <v>1810</v>
      </c>
      <c r="C393" s="87" t="s">
        <v>2972</v>
      </c>
      <c r="D393" s="290" t="s">
        <v>2973</v>
      </c>
      <c r="E393" s="87" t="s">
        <v>48</v>
      </c>
      <c r="F393" s="284">
        <v>92</v>
      </c>
      <c r="G393" s="291">
        <v>29.64</v>
      </c>
      <c r="H393" s="291">
        <f t="shared" si="111"/>
        <v>2726.88</v>
      </c>
      <c r="I393" s="309">
        <f t="shared" si="107"/>
        <v>6.6625794890423415E-5</v>
      </c>
      <c r="J393" s="291"/>
      <c r="K393" s="291"/>
      <c r="L393" s="291"/>
      <c r="M393" s="291"/>
      <c r="N393" s="291"/>
      <c r="O393" s="291"/>
      <c r="P393" s="291"/>
      <c r="Q393" s="291"/>
      <c r="R393" s="306">
        <v>0</v>
      </c>
      <c r="S393" s="291">
        <f t="shared" si="112"/>
        <v>0</v>
      </c>
      <c r="T393" s="327">
        <f t="shared" si="108"/>
        <v>92</v>
      </c>
      <c r="U393" s="334">
        <f t="shared" si="109"/>
        <v>2726.88</v>
      </c>
    </row>
    <row r="394" spans="1:21" ht="43.5" customHeight="1">
      <c r="A394" s="333" t="s">
        <v>3702</v>
      </c>
      <c r="B394" s="87" t="s">
        <v>2974</v>
      </c>
      <c r="C394" s="87" t="s">
        <v>2975</v>
      </c>
      <c r="D394" s="290" t="s">
        <v>2976</v>
      </c>
      <c r="E394" s="87" t="s">
        <v>48</v>
      </c>
      <c r="F394" s="284">
        <v>9</v>
      </c>
      <c r="G394" s="291">
        <v>29.64</v>
      </c>
      <c r="H394" s="291">
        <f t="shared" si="111"/>
        <v>266.76</v>
      </c>
      <c r="I394" s="309">
        <f t="shared" si="107"/>
        <v>6.5177408044979424E-6</v>
      </c>
      <c r="J394" s="291"/>
      <c r="K394" s="291"/>
      <c r="L394" s="291"/>
      <c r="M394" s="291"/>
      <c r="N394" s="291"/>
      <c r="O394" s="291"/>
      <c r="P394" s="291"/>
      <c r="Q394" s="291"/>
      <c r="R394" s="306">
        <v>0</v>
      </c>
      <c r="S394" s="291">
        <f t="shared" si="112"/>
        <v>0</v>
      </c>
      <c r="T394" s="327">
        <f t="shared" si="108"/>
        <v>9</v>
      </c>
      <c r="U394" s="334">
        <f t="shared" si="109"/>
        <v>266.76</v>
      </c>
    </row>
    <row r="395" spans="1:21" ht="45">
      <c r="A395" s="333" t="s">
        <v>3703</v>
      </c>
      <c r="B395" s="87" t="s">
        <v>1810</v>
      </c>
      <c r="C395" s="87" t="s">
        <v>2977</v>
      </c>
      <c r="D395" s="290" t="s">
        <v>2978</v>
      </c>
      <c r="E395" s="87" t="s">
        <v>48</v>
      </c>
      <c r="F395" s="284">
        <v>78</v>
      </c>
      <c r="G395" s="291">
        <v>136.15</v>
      </c>
      <c r="H395" s="291">
        <f t="shared" si="111"/>
        <v>10619.7</v>
      </c>
      <c r="I395" s="309">
        <f t="shared" si="107"/>
        <v>2.5947088027263011E-4</v>
      </c>
      <c r="J395" s="291"/>
      <c r="K395" s="291"/>
      <c r="L395" s="291"/>
      <c r="M395" s="291"/>
      <c r="N395" s="291"/>
      <c r="O395" s="291"/>
      <c r="P395" s="291"/>
      <c r="Q395" s="291"/>
      <c r="R395" s="306">
        <v>0</v>
      </c>
      <c r="S395" s="291">
        <f t="shared" si="112"/>
        <v>0</v>
      </c>
      <c r="T395" s="327">
        <f t="shared" si="108"/>
        <v>78</v>
      </c>
      <c r="U395" s="334">
        <f t="shared" si="109"/>
        <v>10619.7</v>
      </c>
    </row>
    <row r="396" spans="1:21" ht="30">
      <c r="A396" s="333" t="s">
        <v>3704</v>
      </c>
      <c r="B396" s="87" t="s">
        <v>1810</v>
      </c>
      <c r="C396" s="87" t="s">
        <v>2979</v>
      </c>
      <c r="D396" s="290" t="s">
        <v>2980</v>
      </c>
      <c r="E396" s="87" t="s">
        <v>48</v>
      </c>
      <c r="F396" s="284">
        <v>3</v>
      </c>
      <c r="G396" s="291">
        <v>165.86</v>
      </c>
      <c r="H396" s="291">
        <f t="shared" si="111"/>
        <v>497.58</v>
      </c>
      <c r="I396" s="309">
        <f t="shared" ref="I396:I459" si="113">H396/$H$741</f>
        <v>1.2157360434480755E-5</v>
      </c>
      <c r="J396" s="291"/>
      <c r="K396" s="291"/>
      <c r="L396" s="291"/>
      <c r="M396" s="291"/>
      <c r="N396" s="291"/>
      <c r="O396" s="291"/>
      <c r="P396" s="291"/>
      <c r="Q396" s="291"/>
      <c r="R396" s="306">
        <v>0</v>
      </c>
      <c r="S396" s="291">
        <f t="shared" si="112"/>
        <v>0</v>
      </c>
      <c r="T396" s="327">
        <f t="shared" ref="T396:T459" si="114">F396-R396</f>
        <v>3</v>
      </c>
      <c r="U396" s="334">
        <f t="shared" ref="U396:U459" si="115">T396*G396</f>
        <v>497.58000000000004</v>
      </c>
    </row>
    <row r="397" spans="1:21" ht="30">
      <c r="A397" s="333" t="s">
        <v>3705</v>
      </c>
      <c r="B397" s="87" t="s">
        <v>1810</v>
      </c>
      <c r="C397" s="87" t="s">
        <v>2981</v>
      </c>
      <c r="D397" s="290" t="s">
        <v>2982</v>
      </c>
      <c r="E397" s="87" t="s">
        <v>48</v>
      </c>
      <c r="F397" s="284">
        <v>7</v>
      </c>
      <c r="G397" s="291">
        <v>172.46</v>
      </c>
      <c r="H397" s="291">
        <f t="shared" si="111"/>
        <v>1207.22</v>
      </c>
      <c r="I397" s="309">
        <f t="shared" si="113"/>
        <v>2.9495977860271429E-5</v>
      </c>
      <c r="J397" s="291"/>
      <c r="K397" s="291"/>
      <c r="L397" s="291"/>
      <c r="M397" s="291"/>
      <c r="N397" s="291"/>
      <c r="O397" s="291"/>
      <c r="P397" s="291"/>
      <c r="Q397" s="291"/>
      <c r="R397" s="306">
        <v>0</v>
      </c>
      <c r="S397" s="291">
        <f t="shared" si="112"/>
        <v>0</v>
      </c>
      <c r="T397" s="327">
        <f t="shared" si="114"/>
        <v>7</v>
      </c>
      <c r="U397" s="334">
        <f t="shared" si="115"/>
        <v>1207.22</v>
      </c>
    </row>
    <row r="398" spans="1:21" ht="30">
      <c r="A398" s="333" t="s">
        <v>3706</v>
      </c>
      <c r="B398" s="87" t="s">
        <v>1810</v>
      </c>
      <c r="C398" s="87" t="s">
        <v>2983</v>
      </c>
      <c r="D398" s="290" t="s">
        <v>2984</v>
      </c>
      <c r="E398" s="87" t="s">
        <v>48</v>
      </c>
      <c r="F398" s="284">
        <v>1</v>
      </c>
      <c r="G398" s="291">
        <v>270.48</v>
      </c>
      <c r="H398" s="291">
        <f t="shared" si="111"/>
        <v>270.48</v>
      </c>
      <c r="I398" s="309">
        <f t="shared" si="113"/>
        <v>6.6086314769853187E-6</v>
      </c>
      <c r="J398" s="291"/>
      <c r="K398" s="291"/>
      <c r="L398" s="291"/>
      <c r="M398" s="291"/>
      <c r="N398" s="291"/>
      <c r="O398" s="291"/>
      <c r="P398" s="291"/>
      <c r="Q398" s="291"/>
      <c r="R398" s="306">
        <v>0</v>
      </c>
      <c r="S398" s="291">
        <f t="shared" si="112"/>
        <v>0</v>
      </c>
      <c r="T398" s="327">
        <f t="shared" si="114"/>
        <v>1</v>
      </c>
      <c r="U398" s="334">
        <f t="shared" si="115"/>
        <v>270.48</v>
      </c>
    </row>
    <row r="399" spans="1:21">
      <c r="A399" s="333" t="s">
        <v>3707</v>
      </c>
      <c r="B399" s="87" t="s">
        <v>1810</v>
      </c>
      <c r="C399" s="87" t="s">
        <v>2876</v>
      </c>
      <c r="D399" s="290" t="s">
        <v>982</v>
      </c>
      <c r="E399" s="87" t="s">
        <v>48</v>
      </c>
      <c r="F399" s="284">
        <v>299</v>
      </c>
      <c r="G399" s="291">
        <v>11.97</v>
      </c>
      <c r="H399" s="291">
        <f t="shared" si="111"/>
        <v>3579.03</v>
      </c>
      <c r="I399" s="309">
        <f t="shared" si="113"/>
        <v>8.7446355793680734E-5</v>
      </c>
      <c r="J399" s="291"/>
      <c r="K399" s="291"/>
      <c r="L399" s="291"/>
      <c r="M399" s="291"/>
      <c r="N399" s="291"/>
      <c r="O399" s="291"/>
      <c r="P399" s="291"/>
      <c r="Q399" s="291"/>
      <c r="R399" s="306">
        <v>0</v>
      </c>
      <c r="S399" s="291">
        <f t="shared" si="112"/>
        <v>0</v>
      </c>
      <c r="T399" s="327">
        <f t="shared" si="114"/>
        <v>299</v>
      </c>
      <c r="U399" s="334">
        <f t="shared" si="115"/>
        <v>3579.03</v>
      </c>
    </row>
    <row r="400" spans="1:21" ht="30">
      <c r="A400" s="333" t="s">
        <v>3708</v>
      </c>
      <c r="B400" s="87" t="s">
        <v>1810</v>
      </c>
      <c r="C400" s="87" t="s">
        <v>2877</v>
      </c>
      <c r="D400" s="290" t="s">
        <v>779</v>
      </c>
      <c r="E400" s="87" t="s">
        <v>48</v>
      </c>
      <c r="F400" s="284">
        <v>23</v>
      </c>
      <c r="G400" s="291">
        <v>91.89</v>
      </c>
      <c r="H400" s="291">
        <f t="shared" si="111"/>
        <v>2113.4699999999998</v>
      </c>
      <c r="I400" s="309">
        <f t="shared" si="113"/>
        <v>5.1638362790831701E-5</v>
      </c>
      <c r="J400" s="291"/>
      <c r="K400" s="291"/>
      <c r="L400" s="291"/>
      <c r="M400" s="291"/>
      <c r="N400" s="291"/>
      <c r="O400" s="291"/>
      <c r="P400" s="291"/>
      <c r="Q400" s="291"/>
      <c r="R400" s="306">
        <v>0</v>
      </c>
      <c r="S400" s="291">
        <f t="shared" si="112"/>
        <v>0</v>
      </c>
      <c r="T400" s="327">
        <f t="shared" si="114"/>
        <v>23</v>
      </c>
      <c r="U400" s="334">
        <f t="shared" si="115"/>
        <v>2113.4699999999998</v>
      </c>
    </row>
    <row r="401" spans="1:21" ht="30">
      <c r="A401" s="333" t="s">
        <v>3709</v>
      </c>
      <c r="B401" s="87" t="s">
        <v>1810</v>
      </c>
      <c r="C401" s="87" t="s">
        <v>2878</v>
      </c>
      <c r="D401" s="290" t="s">
        <v>2879</v>
      </c>
      <c r="E401" s="87" t="s">
        <v>107</v>
      </c>
      <c r="F401" s="284">
        <v>720.70300000000009</v>
      </c>
      <c r="G401" s="291">
        <v>74</v>
      </c>
      <c r="H401" s="291">
        <f t="shared" si="111"/>
        <v>53332.02</v>
      </c>
      <c r="I401" s="309">
        <f t="shared" si="113"/>
        <v>1.3030599900296159E-3</v>
      </c>
      <c r="J401" s="291"/>
      <c r="K401" s="291"/>
      <c r="L401" s="291"/>
      <c r="M401" s="291"/>
      <c r="N401" s="291"/>
      <c r="O401" s="291"/>
      <c r="P401" s="291"/>
      <c r="Q401" s="291"/>
      <c r="R401" s="306">
        <v>0</v>
      </c>
      <c r="S401" s="291">
        <f t="shared" si="112"/>
        <v>0</v>
      </c>
      <c r="T401" s="327">
        <f t="shared" si="114"/>
        <v>720.70300000000009</v>
      </c>
      <c r="U401" s="334">
        <f t="shared" si="115"/>
        <v>53332.022000000004</v>
      </c>
    </row>
    <row r="402" spans="1:21" ht="30">
      <c r="A402" s="333" t="s">
        <v>3710</v>
      </c>
      <c r="B402" s="87" t="s">
        <v>1810</v>
      </c>
      <c r="C402" s="87" t="s">
        <v>2880</v>
      </c>
      <c r="D402" s="290" t="s">
        <v>1021</v>
      </c>
      <c r="E402" s="87" t="s">
        <v>48</v>
      </c>
      <c r="F402" s="284">
        <v>34</v>
      </c>
      <c r="G402" s="291">
        <v>101.96</v>
      </c>
      <c r="H402" s="291">
        <f t="shared" si="111"/>
        <v>3466.64</v>
      </c>
      <c r="I402" s="309">
        <f t="shared" si="113"/>
        <v>8.4700333567644127E-5</v>
      </c>
      <c r="J402" s="291"/>
      <c r="K402" s="291"/>
      <c r="L402" s="291"/>
      <c r="M402" s="291"/>
      <c r="N402" s="291"/>
      <c r="O402" s="291"/>
      <c r="P402" s="291"/>
      <c r="Q402" s="291"/>
      <c r="R402" s="306">
        <v>0</v>
      </c>
      <c r="S402" s="291">
        <f t="shared" si="112"/>
        <v>0</v>
      </c>
      <c r="T402" s="327">
        <f t="shared" si="114"/>
        <v>34</v>
      </c>
      <c r="U402" s="334">
        <f t="shared" si="115"/>
        <v>3466.64</v>
      </c>
    </row>
    <row r="403" spans="1:21" ht="30">
      <c r="A403" s="333" t="s">
        <v>3711</v>
      </c>
      <c r="B403" s="87" t="s">
        <v>1810</v>
      </c>
      <c r="C403" s="87" t="s">
        <v>2881</v>
      </c>
      <c r="D403" s="290" t="s">
        <v>898</v>
      </c>
      <c r="E403" s="87" t="s">
        <v>48</v>
      </c>
      <c r="F403" s="284">
        <v>342</v>
      </c>
      <c r="G403" s="291">
        <v>15.13</v>
      </c>
      <c r="H403" s="291">
        <f t="shared" si="111"/>
        <v>5174.46</v>
      </c>
      <c r="I403" s="309">
        <f t="shared" si="113"/>
        <v>1.2642745945135112E-4</v>
      </c>
      <c r="J403" s="291"/>
      <c r="K403" s="291"/>
      <c r="L403" s="291"/>
      <c r="M403" s="291"/>
      <c r="N403" s="291"/>
      <c r="O403" s="291"/>
      <c r="P403" s="291"/>
      <c r="Q403" s="291"/>
      <c r="R403" s="306">
        <v>0</v>
      </c>
      <c r="S403" s="291">
        <f t="shared" si="112"/>
        <v>0</v>
      </c>
      <c r="T403" s="327">
        <f t="shared" si="114"/>
        <v>342</v>
      </c>
      <c r="U403" s="334">
        <f t="shared" si="115"/>
        <v>5174.46</v>
      </c>
    </row>
    <row r="404" spans="1:21" ht="30">
      <c r="A404" s="333" t="s">
        <v>3712</v>
      </c>
      <c r="B404" s="87" t="s">
        <v>1810</v>
      </c>
      <c r="C404" s="87" t="s">
        <v>2985</v>
      </c>
      <c r="D404" s="290" t="s">
        <v>2986</v>
      </c>
      <c r="E404" s="87" t="s">
        <v>48</v>
      </c>
      <c r="F404" s="284">
        <v>5</v>
      </c>
      <c r="G404" s="291">
        <v>36.090000000000003</v>
      </c>
      <c r="H404" s="291">
        <f t="shared" si="111"/>
        <v>180.45</v>
      </c>
      <c r="I404" s="309">
        <f t="shared" si="113"/>
        <v>4.408930604931975E-6</v>
      </c>
      <c r="J404" s="291"/>
      <c r="K404" s="291"/>
      <c r="L404" s="291"/>
      <c r="M404" s="291"/>
      <c r="N404" s="291"/>
      <c r="O404" s="291"/>
      <c r="P404" s="291"/>
      <c r="Q404" s="291"/>
      <c r="R404" s="306">
        <v>0</v>
      </c>
      <c r="S404" s="291">
        <f t="shared" si="112"/>
        <v>0</v>
      </c>
      <c r="T404" s="327">
        <f t="shared" si="114"/>
        <v>5</v>
      </c>
      <c r="U404" s="334">
        <f t="shared" si="115"/>
        <v>180.45000000000002</v>
      </c>
    </row>
    <row r="405" spans="1:21" ht="30">
      <c r="A405" s="333" t="s">
        <v>3713</v>
      </c>
      <c r="B405" s="87" t="s">
        <v>1810</v>
      </c>
      <c r="C405" s="87" t="s">
        <v>2987</v>
      </c>
      <c r="D405" s="290" t="s">
        <v>1312</v>
      </c>
      <c r="E405" s="87" t="s">
        <v>107</v>
      </c>
      <c r="F405" s="284">
        <v>75.495000000000005</v>
      </c>
      <c r="G405" s="291">
        <v>31.19</v>
      </c>
      <c r="H405" s="291">
        <f t="shared" si="111"/>
        <v>2354.69</v>
      </c>
      <c r="I405" s="309">
        <f t="shared" si="113"/>
        <v>5.7532085376155572E-5</v>
      </c>
      <c r="J405" s="291"/>
      <c r="K405" s="291"/>
      <c r="L405" s="291"/>
      <c r="M405" s="291"/>
      <c r="N405" s="291"/>
      <c r="O405" s="291"/>
      <c r="P405" s="291"/>
      <c r="Q405" s="291"/>
      <c r="R405" s="306">
        <v>0</v>
      </c>
      <c r="S405" s="291">
        <f t="shared" si="112"/>
        <v>0</v>
      </c>
      <c r="T405" s="327">
        <f t="shared" si="114"/>
        <v>75.495000000000005</v>
      </c>
      <c r="U405" s="334">
        <f t="shared" si="115"/>
        <v>2354.6890500000004</v>
      </c>
    </row>
    <row r="406" spans="1:21" ht="30">
      <c r="A406" s="333" t="s">
        <v>3714</v>
      </c>
      <c r="B406" s="87" t="s">
        <v>2974</v>
      </c>
      <c r="C406" s="87" t="s">
        <v>2988</v>
      </c>
      <c r="D406" s="290" t="s">
        <v>788</v>
      </c>
      <c r="E406" s="87" t="s">
        <v>107</v>
      </c>
      <c r="F406" s="284">
        <v>2980.0693000000001</v>
      </c>
      <c r="G406" s="291">
        <v>18.91</v>
      </c>
      <c r="H406" s="291">
        <f t="shared" si="111"/>
        <v>56353.11</v>
      </c>
      <c r="I406" s="309">
        <f t="shared" si="113"/>
        <v>1.3768742109287789E-3</v>
      </c>
      <c r="J406" s="291"/>
      <c r="K406" s="291"/>
      <c r="L406" s="291"/>
      <c r="M406" s="291"/>
      <c r="N406" s="291"/>
      <c r="O406" s="291"/>
      <c r="P406" s="291"/>
      <c r="Q406" s="291"/>
      <c r="R406" s="306"/>
      <c r="S406" s="291">
        <f t="shared" si="112"/>
        <v>0</v>
      </c>
      <c r="T406" s="327">
        <f t="shared" si="114"/>
        <v>2980.0693000000001</v>
      </c>
      <c r="U406" s="334">
        <f t="shared" si="115"/>
        <v>56353.110463000005</v>
      </c>
    </row>
    <row r="407" spans="1:21" ht="30">
      <c r="A407" s="333" t="s">
        <v>3715</v>
      </c>
      <c r="B407" s="87" t="s">
        <v>1810</v>
      </c>
      <c r="C407" s="87" t="s">
        <v>2884</v>
      </c>
      <c r="D407" s="290" t="s">
        <v>2885</v>
      </c>
      <c r="E407" s="87" t="s">
        <v>107</v>
      </c>
      <c r="F407" s="284">
        <v>118.39600000000002</v>
      </c>
      <c r="G407" s="291">
        <v>9.58</v>
      </c>
      <c r="H407" s="291">
        <f t="shared" ref="H407:H428" si="116">ROUND((G407*F407),2)</f>
        <v>1134.23</v>
      </c>
      <c r="I407" s="309">
        <f t="shared" si="113"/>
        <v>2.7712614907353807E-5</v>
      </c>
      <c r="J407" s="291"/>
      <c r="K407" s="291"/>
      <c r="L407" s="291"/>
      <c r="M407" s="291"/>
      <c r="N407" s="291"/>
      <c r="O407" s="291"/>
      <c r="P407" s="291"/>
      <c r="Q407" s="291"/>
      <c r="R407" s="306"/>
      <c r="S407" s="291">
        <f t="shared" ref="S407:S428" si="117">ROUND((R407*P407),2)</f>
        <v>0</v>
      </c>
      <c r="T407" s="327">
        <f t="shared" si="114"/>
        <v>118.39600000000002</v>
      </c>
      <c r="U407" s="334">
        <f t="shared" si="115"/>
        <v>1134.23368</v>
      </c>
    </row>
    <row r="408" spans="1:21" ht="30">
      <c r="A408" s="333" t="s">
        <v>3716</v>
      </c>
      <c r="B408" s="87" t="s">
        <v>1810</v>
      </c>
      <c r="C408" s="87" t="s">
        <v>2989</v>
      </c>
      <c r="D408" s="290" t="s">
        <v>2990</v>
      </c>
      <c r="E408" s="87" t="s">
        <v>107</v>
      </c>
      <c r="F408" s="284">
        <v>5.9</v>
      </c>
      <c r="G408" s="291">
        <v>7.83</v>
      </c>
      <c r="H408" s="291">
        <f t="shared" si="116"/>
        <v>46.2</v>
      </c>
      <c r="I408" s="309">
        <f t="shared" si="113"/>
        <v>1.1288035131496663E-6</v>
      </c>
      <c r="J408" s="291"/>
      <c r="K408" s="291"/>
      <c r="L408" s="291"/>
      <c r="M408" s="291"/>
      <c r="N408" s="291"/>
      <c r="O408" s="291"/>
      <c r="P408" s="291"/>
      <c r="Q408" s="291"/>
      <c r="R408" s="306">
        <v>0</v>
      </c>
      <c r="S408" s="291">
        <f t="shared" si="117"/>
        <v>0</v>
      </c>
      <c r="T408" s="327">
        <f t="shared" si="114"/>
        <v>5.9</v>
      </c>
      <c r="U408" s="334">
        <f t="shared" si="115"/>
        <v>46.197000000000003</v>
      </c>
    </row>
    <row r="409" spans="1:21" ht="45">
      <c r="A409" s="333" t="s">
        <v>3717</v>
      </c>
      <c r="B409" s="87" t="s">
        <v>1810</v>
      </c>
      <c r="C409" s="87" t="s">
        <v>2886</v>
      </c>
      <c r="D409" s="290" t="s">
        <v>2887</v>
      </c>
      <c r="E409" s="87" t="s">
        <v>107</v>
      </c>
      <c r="F409" s="284">
        <v>299</v>
      </c>
      <c r="G409" s="291">
        <v>33.840000000000003</v>
      </c>
      <c r="H409" s="291">
        <f t="shared" si="116"/>
        <v>10118.16</v>
      </c>
      <c r="I409" s="309">
        <f t="shared" si="113"/>
        <v>2.4721676525130793E-4</v>
      </c>
      <c r="J409" s="291"/>
      <c r="K409" s="291"/>
      <c r="L409" s="291"/>
      <c r="M409" s="291"/>
      <c r="N409" s="291"/>
      <c r="O409" s="291"/>
      <c r="P409" s="291"/>
      <c r="Q409" s="291"/>
      <c r="R409" s="306">
        <v>0</v>
      </c>
      <c r="S409" s="291">
        <f t="shared" si="117"/>
        <v>0</v>
      </c>
      <c r="T409" s="327">
        <f t="shared" si="114"/>
        <v>299</v>
      </c>
      <c r="U409" s="334">
        <f t="shared" si="115"/>
        <v>10118.160000000002</v>
      </c>
    </row>
    <row r="410" spans="1:21" ht="45">
      <c r="A410" s="333" t="s">
        <v>3718</v>
      </c>
      <c r="B410" s="87" t="s">
        <v>1810</v>
      </c>
      <c r="C410" s="87" t="s">
        <v>2991</v>
      </c>
      <c r="D410" s="290" t="s">
        <v>2992</v>
      </c>
      <c r="E410" s="87" t="s">
        <v>107</v>
      </c>
      <c r="F410" s="284">
        <v>1112.6237999999998</v>
      </c>
      <c r="G410" s="291">
        <v>30.3</v>
      </c>
      <c r="H410" s="291">
        <f t="shared" si="116"/>
        <v>33712.5</v>
      </c>
      <c r="I410" s="309">
        <f t="shared" si="113"/>
        <v>8.2369671941684246E-4</v>
      </c>
      <c r="J410" s="291"/>
      <c r="K410" s="291"/>
      <c r="L410" s="291"/>
      <c r="M410" s="291"/>
      <c r="N410" s="291"/>
      <c r="O410" s="291"/>
      <c r="P410" s="291"/>
      <c r="Q410" s="291"/>
      <c r="R410" s="306">
        <v>0</v>
      </c>
      <c r="S410" s="291">
        <f t="shared" si="117"/>
        <v>0</v>
      </c>
      <c r="T410" s="327">
        <f t="shared" si="114"/>
        <v>1112.6237999999998</v>
      </c>
      <c r="U410" s="334">
        <f t="shared" si="115"/>
        <v>33712.501139999993</v>
      </c>
    </row>
    <row r="411" spans="1:21" ht="45">
      <c r="A411" s="333" t="s">
        <v>3719</v>
      </c>
      <c r="B411" s="87" t="s">
        <v>1810</v>
      </c>
      <c r="C411" s="87" t="s">
        <v>2888</v>
      </c>
      <c r="D411" s="290" t="s">
        <v>2889</v>
      </c>
      <c r="E411" s="87" t="s">
        <v>107</v>
      </c>
      <c r="F411" s="284">
        <v>721.24749999999995</v>
      </c>
      <c r="G411" s="291">
        <v>35.57</v>
      </c>
      <c r="H411" s="291">
        <f t="shared" si="116"/>
        <v>25654.77</v>
      </c>
      <c r="I411" s="309">
        <f t="shared" si="113"/>
        <v>6.268223918841269E-4</v>
      </c>
      <c r="J411" s="291"/>
      <c r="K411" s="291"/>
      <c r="L411" s="291"/>
      <c r="M411" s="291"/>
      <c r="N411" s="291"/>
      <c r="O411" s="291"/>
      <c r="P411" s="291"/>
      <c r="Q411" s="291"/>
      <c r="R411" s="306">
        <v>0</v>
      </c>
      <c r="S411" s="291">
        <f t="shared" si="117"/>
        <v>0</v>
      </c>
      <c r="T411" s="327">
        <f t="shared" si="114"/>
        <v>721.24749999999995</v>
      </c>
      <c r="U411" s="334">
        <f t="shared" si="115"/>
        <v>25654.773574999999</v>
      </c>
    </row>
    <row r="412" spans="1:21" ht="45">
      <c r="A412" s="333" t="s">
        <v>3720</v>
      </c>
      <c r="B412" s="87" t="s">
        <v>1810</v>
      </c>
      <c r="C412" s="87" t="s">
        <v>2890</v>
      </c>
      <c r="D412" s="290" t="s">
        <v>2891</v>
      </c>
      <c r="E412" s="87" t="s">
        <v>107</v>
      </c>
      <c r="F412" s="284">
        <v>193.80199999999999</v>
      </c>
      <c r="G412" s="291">
        <v>56.88</v>
      </c>
      <c r="H412" s="291">
        <f t="shared" si="116"/>
        <v>11023.46</v>
      </c>
      <c r="I412" s="309">
        <f t="shared" si="113"/>
        <v>2.6933593885421686E-4</v>
      </c>
      <c r="J412" s="291"/>
      <c r="K412" s="291"/>
      <c r="L412" s="291"/>
      <c r="M412" s="291"/>
      <c r="N412" s="291"/>
      <c r="O412" s="291"/>
      <c r="P412" s="291"/>
      <c r="Q412" s="291"/>
      <c r="R412" s="306">
        <v>0</v>
      </c>
      <c r="S412" s="291">
        <f t="shared" si="117"/>
        <v>0</v>
      </c>
      <c r="T412" s="327">
        <f t="shared" si="114"/>
        <v>193.80199999999999</v>
      </c>
      <c r="U412" s="334">
        <f t="shared" si="115"/>
        <v>11023.457759999999</v>
      </c>
    </row>
    <row r="413" spans="1:21" ht="45">
      <c r="A413" s="333" t="s">
        <v>3721</v>
      </c>
      <c r="B413" s="87" t="s">
        <v>1810</v>
      </c>
      <c r="C413" s="87" t="s">
        <v>2993</v>
      </c>
      <c r="D413" s="290" t="s">
        <v>2994</v>
      </c>
      <c r="E413" s="87" t="s">
        <v>107</v>
      </c>
      <c r="F413" s="284">
        <v>427.29700000000003</v>
      </c>
      <c r="G413" s="291">
        <v>136.21</v>
      </c>
      <c r="H413" s="291">
        <f t="shared" si="116"/>
        <v>58202.12</v>
      </c>
      <c r="I413" s="309">
        <f t="shared" si="113"/>
        <v>1.4220510287610054E-3</v>
      </c>
      <c r="J413" s="291"/>
      <c r="K413" s="291"/>
      <c r="L413" s="291"/>
      <c r="M413" s="291"/>
      <c r="N413" s="291"/>
      <c r="O413" s="291"/>
      <c r="P413" s="291"/>
      <c r="Q413" s="291"/>
      <c r="R413" s="306">
        <v>0</v>
      </c>
      <c r="S413" s="291">
        <f t="shared" si="117"/>
        <v>0</v>
      </c>
      <c r="T413" s="327">
        <f t="shared" si="114"/>
        <v>427.29700000000003</v>
      </c>
      <c r="U413" s="334">
        <f t="shared" si="115"/>
        <v>58202.124370000005</v>
      </c>
    </row>
    <row r="414" spans="1:21">
      <c r="A414" s="333" t="s">
        <v>3722</v>
      </c>
      <c r="B414" s="87" t="s">
        <v>133</v>
      </c>
      <c r="C414" s="87" t="s">
        <v>2995</v>
      </c>
      <c r="D414" s="290" t="s">
        <v>2996</v>
      </c>
      <c r="E414" s="87" t="s">
        <v>107</v>
      </c>
      <c r="F414" s="284">
        <v>432.11879999999996</v>
      </c>
      <c r="G414" s="291">
        <v>7.84</v>
      </c>
      <c r="H414" s="291">
        <f t="shared" si="116"/>
        <v>3387.81</v>
      </c>
      <c r="I414" s="309">
        <f t="shared" si="113"/>
        <v>8.2774282032111916E-5</v>
      </c>
      <c r="J414" s="291"/>
      <c r="K414" s="291"/>
      <c r="L414" s="291"/>
      <c r="M414" s="291"/>
      <c r="N414" s="291"/>
      <c r="O414" s="291"/>
      <c r="P414" s="291"/>
      <c r="Q414" s="291"/>
      <c r="R414" s="306">
        <v>0</v>
      </c>
      <c r="S414" s="291">
        <f t="shared" si="117"/>
        <v>0</v>
      </c>
      <c r="T414" s="327">
        <f t="shared" si="114"/>
        <v>432.11879999999996</v>
      </c>
      <c r="U414" s="334">
        <f t="shared" si="115"/>
        <v>3387.8113919999996</v>
      </c>
    </row>
    <row r="415" spans="1:21" ht="60">
      <c r="A415" s="333" t="s">
        <v>3723</v>
      </c>
      <c r="B415" s="87" t="s">
        <v>133</v>
      </c>
      <c r="C415" s="87" t="s">
        <v>2997</v>
      </c>
      <c r="D415" s="290" t="s">
        <v>2998</v>
      </c>
      <c r="E415" s="87" t="s">
        <v>48</v>
      </c>
      <c r="F415" s="284">
        <v>7</v>
      </c>
      <c r="G415" s="291">
        <v>43.49</v>
      </c>
      <c r="H415" s="291">
        <f t="shared" si="116"/>
        <v>304.43</v>
      </c>
      <c r="I415" s="309">
        <f t="shared" si="113"/>
        <v>7.4381310283149975E-6</v>
      </c>
      <c r="J415" s="291"/>
      <c r="K415" s="291"/>
      <c r="L415" s="291"/>
      <c r="M415" s="291"/>
      <c r="N415" s="291"/>
      <c r="O415" s="291"/>
      <c r="P415" s="291"/>
      <c r="Q415" s="291"/>
      <c r="R415" s="306">
        <v>0</v>
      </c>
      <c r="S415" s="291">
        <f t="shared" si="117"/>
        <v>0</v>
      </c>
      <c r="T415" s="327">
        <f t="shared" si="114"/>
        <v>7</v>
      </c>
      <c r="U415" s="334">
        <f t="shared" si="115"/>
        <v>304.43</v>
      </c>
    </row>
    <row r="416" spans="1:21" ht="30">
      <c r="A416" s="333" t="s">
        <v>3724</v>
      </c>
      <c r="B416" s="87" t="s">
        <v>1810</v>
      </c>
      <c r="C416" s="87" t="s">
        <v>2900</v>
      </c>
      <c r="D416" s="290" t="s">
        <v>2999</v>
      </c>
      <c r="E416" s="87" t="s">
        <v>48</v>
      </c>
      <c r="F416" s="284">
        <v>1</v>
      </c>
      <c r="G416" s="291">
        <v>619.79</v>
      </c>
      <c r="H416" s="291">
        <f t="shared" si="116"/>
        <v>619.79</v>
      </c>
      <c r="I416" s="309">
        <f t="shared" si="113"/>
        <v>1.5143314489502847E-5</v>
      </c>
      <c r="J416" s="291"/>
      <c r="K416" s="291"/>
      <c r="L416" s="291"/>
      <c r="M416" s="291"/>
      <c r="N416" s="291"/>
      <c r="O416" s="291"/>
      <c r="P416" s="291"/>
      <c r="Q416" s="291"/>
      <c r="R416" s="306">
        <v>0</v>
      </c>
      <c r="S416" s="291">
        <f t="shared" si="117"/>
        <v>0</v>
      </c>
      <c r="T416" s="327">
        <f t="shared" si="114"/>
        <v>1</v>
      </c>
      <c r="U416" s="334">
        <f t="shared" si="115"/>
        <v>619.79</v>
      </c>
    </row>
    <row r="417" spans="1:21" ht="75">
      <c r="A417" s="333" t="s">
        <v>3725</v>
      </c>
      <c r="B417" s="87" t="s">
        <v>1810</v>
      </c>
      <c r="C417" s="87" t="s">
        <v>3000</v>
      </c>
      <c r="D417" s="290" t="s">
        <v>3001</v>
      </c>
      <c r="E417" s="87" t="s">
        <v>48</v>
      </c>
      <c r="F417" s="284">
        <v>1</v>
      </c>
      <c r="G417" s="291">
        <v>1283.8399999999999</v>
      </c>
      <c r="H417" s="291">
        <f t="shared" si="116"/>
        <v>1283.8399999999999</v>
      </c>
      <c r="I417" s="309">
        <f t="shared" si="113"/>
        <v>3.1368032517793663E-5</v>
      </c>
      <c r="J417" s="291"/>
      <c r="K417" s="291"/>
      <c r="L417" s="291"/>
      <c r="M417" s="291"/>
      <c r="N417" s="291"/>
      <c r="O417" s="291"/>
      <c r="P417" s="291"/>
      <c r="Q417" s="291"/>
      <c r="R417" s="306">
        <v>0</v>
      </c>
      <c r="S417" s="291">
        <f t="shared" si="117"/>
        <v>0</v>
      </c>
      <c r="T417" s="327">
        <f t="shared" si="114"/>
        <v>1</v>
      </c>
      <c r="U417" s="334">
        <f t="shared" si="115"/>
        <v>1283.8399999999999</v>
      </c>
    </row>
    <row r="418" spans="1:21" ht="30">
      <c r="A418" s="333" t="s">
        <v>3726</v>
      </c>
      <c r="B418" s="87" t="s">
        <v>3002</v>
      </c>
      <c r="C418" s="87" t="s">
        <v>3003</v>
      </c>
      <c r="D418" s="290" t="s">
        <v>3004</v>
      </c>
      <c r="E418" s="87" t="s">
        <v>48</v>
      </c>
      <c r="F418" s="284">
        <v>8</v>
      </c>
      <c r="G418" s="291">
        <v>3839.95</v>
      </c>
      <c r="H418" s="291">
        <f t="shared" si="116"/>
        <v>30719.599999999999</v>
      </c>
      <c r="I418" s="309">
        <f t="shared" si="113"/>
        <v>7.5057126412451263E-4</v>
      </c>
      <c r="J418" s="291"/>
      <c r="K418" s="291"/>
      <c r="L418" s="291"/>
      <c r="M418" s="291"/>
      <c r="N418" s="291"/>
      <c r="O418" s="291"/>
      <c r="P418" s="291"/>
      <c r="Q418" s="291"/>
      <c r="R418" s="306">
        <v>0</v>
      </c>
      <c r="S418" s="291">
        <f t="shared" si="117"/>
        <v>0</v>
      </c>
      <c r="T418" s="327">
        <f t="shared" si="114"/>
        <v>8</v>
      </c>
      <c r="U418" s="334">
        <f t="shared" si="115"/>
        <v>30719.599999999999</v>
      </c>
    </row>
    <row r="419" spans="1:21" ht="75">
      <c r="A419" s="333" t="s">
        <v>3727</v>
      </c>
      <c r="B419" s="87" t="s">
        <v>1810</v>
      </c>
      <c r="C419" s="87" t="s">
        <v>3005</v>
      </c>
      <c r="D419" s="290" t="s">
        <v>3006</v>
      </c>
      <c r="E419" s="87" t="s">
        <v>48</v>
      </c>
      <c r="F419" s="284">
        <v>4</v>
      </c>
      <c r="G419" s="291">
        <v>867.06</v>
      </c>
      <c r="H419" s="291">
        <f t="shared" si="116"/>
        <v>3468.24</v>
      </c>
      <c r="I419" s="309">
        <f t="shared" si="113"/>
        <v>8.4739426330004289E-5</v>
      </c>
      <c r="J419" s="291"/>
      <c r="K419" s="291"/>
      <c r="L419" s="291"/>
      <c r="M419" s="291"/>
      <c r="N419" s="291"/>
      <c r="O419" s="291"/>
      <c r="P419" s="291"/>
      <c r="Q419" s="291"/>
      <c r="R419" s="306">
        <v>0</v>
      </c>
      <c r="S419" s="291">
        <f t="shared" si="117"/>
        <v>0</v>
      </c>
      <c r="T419" s="327">
        <f t="shared" si="114"/>
        <v>4</v>
      </c>
      <c r="U419" s="334">
        <f t="shared" si="115"/>
        <v>3468.24</v>
      </c>
    </row>
    <row r="420" spans="1:21" ht="75">
      <c r="A420" s="333" t="s">
        <v>3728</v>
      </c>
      <c r="B420" s="87" t="s">
        <v>1810</v>
      </c>
      <c r="C420" s="87" t="s">
        <v>3007</v>
      </c>
      <c r="D420" s="290" t="s">
        <v>3008</v>
      </c>
      <c r="E420" s="87" t="s">
        <v>48</v>
      </c>
      <c r="F420" s="284">
        <v>1</v>
      </c>
      <c r="G420" s="291">
        <v>1071.4100000000001</v>
      </c>
      <c r="H420" s="291">
        <f t="shared" si="116"/>
        <v>1071.4100000000001</v>
      </c>
      <c r="I420" s="309">
        <f t="shared" si="113"/>
        <v>2.6177735325187964E-5</v>
      </c>
      <c r="J420" s="291"/>
      <c r="K420" s="291"/>
      <c r="L420" s="291"/>
      <c r="M420" s="291"/>
      <c r="N420" s="291"/>
      <c r="O420" s="291"/>
      <c r="P420" s="291"/>
      <c r="Q420" s="291"/>
      <c r="R420" s="306">
        <v>0</v>
      </c>
      <c r="S420" s="291">
        <f t="shared" si="117"/>
        <v>0</v>
      </c>
      <c r="T420" s="327">
        <f t="shared" si="114"/>
        <v>1</v>
      </c>
      <c r="U420" s="334">
        <f t="shared" si="115"/>
        <v>1071.4100000000001</v>
      </c>
    </row>
    <row r="421" spans="1:21" ht="45">
      <c r="A421" s="333" t="s">
        <v>3729</v>
      </c>
      <c r="B421" s="87" t="s">
        <v>1810</v>
      </c>
      <c r="C421" s="87" t="s">
        <v>3009</v>
      </c>
      <c r="D421" s="290" t="s">
        <v>3010</v>
      </c>
      <c r="E421" s="87" t="s">
        <v>48</v>
      </c>
      <c r="F421" s="284">
        <v>8</v>
      </c>
      <c r="G421" s="291">
        <v>1514.12</v>
      </c>
      <c r="H421" s="291">
        <f t="shared" si="116"/>
        <v>12112.96</v>
      </c>
      <c r="I421" s="309">
        <f t="shared" si="113"/>
        <v>2.9595566672383937E-4</v>
      </c>
      <c r="J421" s="291"/>
      <c r="K421" s="291"/>
      <c r="L421" s="291"/>
      <c r="M421" s="291"/>
      <c r="N421" s="291"/>
      <c r="O421" s="291"/>
      <c r="P421" s="291"/>
      <c r="Q421" s="291"/>
      <c r="R421" s="306">
        <v>0</v>
      </c>
      <c r="S421" s="291">
        <f t="shared" si="117"/>
        <v>0</v>
      </c>
      <c r="T421" s="327">
        <f t="shared" si="114"/>
        <v>8</v>
      </c>
      <c r="U421" s="334">
        <f t="shared" si="115"/>
        <v>12112.96</v>
      </c>
    </row>
    <row r="422" spans="1:21" ht="30">
      <c r="A422" s="333" t="s">
        <v>3730</v>
      </c>
      <c r="B422" s="87" t="s">
        <v>1810</v>
      </c>
      <c r="C422" s="87" t="s">
        <v>3011</v>
      </c>
      <c r="D422" s="290" t="s">
        <v>3012</v>
      </c>
      <c r="E422" s="87" t="s">
        <v>48</v>
      </c>
      <c r="F422" s="284">
        <v>108</v>
      </c>
      <c r="G422" s="291">
        <v>75.95</v>
      </c>
      <c r="H422" s="291">
        <f t="shared" si="116"/>
        <v>8202.6</v>
      </c>
      <c r="I422" s="309">
        <f t="shared" si="113"/>
        <v>2.0041393283466347E-4</v>
      </c>
      <c r="J422" s="291"/>
      <c r="K422" s="291"/>
      <c r="L422" s="291"/>
      <c r="M422" s="291"/>
      <c r="N422" s="291"/>
      <c r="O422" s="291"/>
      <c r="P422" s="291"/>
      <c r="Q422" s="291"/>
      <c r="R422" s="306">
        <v>0</v>
      </c>
      <c r="S422" s="291">
        <f t="shared" si="117"/>
        <v>0</v>
      </c>
      <c r="T422" s="327">
        <f t="shared" si="114"/>
        <v>108</v>
      </c>
      <c r="U422" s="334">
        <f t="shared" si="115"/>
        <v>8202.6</v>
      </c>
    </row>
    <row r="423" spans="1:21" ht="30">
      <c r="A423" s="333" t="s">
        <v>3731</v>
      </c>
      <c r="B423" s="87" t="s">
        <v>1810</v>
      </c>
      <c r="C423" s="87" t="s">
        <v>3013</v>
      </c>
      <c r="D423" s="290" t="s">
        <v>3014</v>
      </c>
      <c r="E423" s="87" t="s">
        <v>48</v>
      </c>
      <c r="F423" s="284">
        <v>55</v>
      </c>
      <c r="G423" s="291">
        <v>75.95</v>
      </c>
      <c r="H423" s="291">
        <f t="shared" si="116"/>
        <v>4177.25</v>
      </c>
      <c r="I423" s="309">
        <f t="shared" si="113"/>
        <v>1.0206265098061564E-4</v>
      </c>
      <c r="J423" s="291"/>
      <c r="K423" s="291"/>
      <c r="L423" s="291"/>
      <c r="M423" s="291"/>
      <c r="N423" s="291"/>
      <c r="O423" s="291"/>
      <c r="P423" s="291"/>
      <c r="Q423" s="291"/>
      <c r="R423" s="306">
        <v>0</v>
      </c>
      <c r="S423" s="291">
        <f t="shared" si="117"/>
        <v>0</v>
      </c>
      <c r="T423" s="327">
        <f t="shared" si="114"/>
        <v>55</v>
      </c>
      <c r="U423" s="334">
        <f t="shared" si="115"/>
        <v>4177.25</v>
      </c>
    </row>
    <row r="424" spans="1:21" ht="30">
      <c r="A424" s="333" t="s">
        <v>3732</v>
      </c>
      <c r="B424" s="87" t="s">
        <v>1810</v>
      </c>
      <c r="C424" s="87" t="s">
        <v>3015</v>
      </c>
      <c r="D424" s="290" t="s">
        <v>3016</v>
      </c>
      <c r="E424" s="87" t="s">
        <v>48</v>
      </c>
      <c r="F424" s="284">
        <v>6</v>
      </c>
      <c r="G424" s="291">
        <v>109.1</v>
      </c>
      <c r="H424" s="291">
        <f t="shared" si="116"/>
        <v>654.6</v>
      </c>
      <c r="I424" s="309">
        <f t="shared" si="113"/>
        <v>1.5993826400601116E-5</v>
      </c>
      <c r="J424" s="291"/>
      <c r="K424" s="291"/>
      <c r="L424" s="291"/>
      <c r="M424" s="291"/>
      <c r="N424" s="291"/>
      <c r="O424" s="291"/>
      <c r="P424" s="291"/>
      <c r="Q424" s="291"/>
      <c r="R424" s="306">
        <v>0</v>
      </c>
      <c r="S424" s="291">
        <f t="shared" si="117"/>
        <v>0</v>
      </c>
      <c r="T424" s="327">
        <f t="shared" si="114"/>
        <v>6</v>
      </c>
      <c r="U424" s="334">
        <f t="shared" si="115"/>
        <v>654.59999999999991</v>
      </c>
    </row>
    <row r="425" spans="1:21" ht="30">
      <c r="A425" s="333" t="s">
        <v>3733</v>
      </c>
      <c r="B425" s="87" t="s">
        <v>1810</v>
      </c>
      <c r="C425" s="87" t="s">
        <v>2962</v>
      </c>
      <c r="D425" s="290" t="s">
        <v>3017</v>
      </c>
      <c r="E425" s="87" t="s">
        <v>48</v>
      </c>
      <c r="F425" s="284">
        <v>3</v>
      </c>
      <c r="G425" s="291">
        <v>109.1</v>
      </c>
      <c r="H425" s="291">
        <f t="shared" si="116"/>
        <v>327.3</v>
      </c>
      <c r="I425" s="309">
        <f t="shared" si="113"/>
        <v>7.9969132003005578E-6</v>
      </c>
      <c r="J425" s="291"/>
      <c r="K425" s="291"/>
      <c r="L425" s="291"/>
      <c r="M425" s="291"/>
      <c r="N425" s="291"/>
      <c r="O425" s="291"/>
      <c r="P425" s="291"/>
      <c r="Q425" s="291"/>
      <c r="R425" s="306">
        <v>0</v>
      </c>
      <c r="S425" s="291">
        <f t="shared" si="117"/>
        <v>0</v>
      </c>
      <c r="T425" s="327">
        <f t="shared" si="114"/>
        <v>3</v>
      </c>
      <c r="U425" s="334">
        <f t="shared" si="115"/>
        <v>327.29999999999995</v>
      </c>
    </row>
    <row r="426" spans="1:21" ht="45">
      <c r="A426" s="333" t="s">
        <v>3734</v>
      </c>
      <c r="B426" s="87" t="s">
        <v>1810</v>
      </c>
      <c r="C426" s="87" t="s">
        <v>3018</v>
      </c>
      <c r="D426" s="290" t="s">
        <v>3019</v>
      </c>
      <c r="E426" s="87" t="s">
        <v>48</v>
      </c>
      <c r="F426" s="284">
        <v>2</v>
      </c>
      <c r="G426" s="291">
        <v>34.17</v>
      </c>
      <c r="H426" s="291">
        <f t="shared" si="116"/>
        <v>68.34</v>
      </c>
      <c r="I426" s="309">
        <f t="shared" si="113"/>
        <v>1.6697496123084024E-6</v>
      </c>
      <c r="J426" s="291"/>
      <c r="K426" s="291"/>
      <c r="L426" s="291"/>
      <c r="M426" s="291"/>
      <c r="N426" s="291"/>
      <c r="O426" s="291"/>
      <c r="P426" s="291"/>
      <c r="Q426" s="291"/>
      <c r="R426" s="306">
        <v>0</v>
      </c>
      <c r="S426" s="291">
        <f t="shared" si="117"/>
        <v>0</v>
      </c>
      <c r="T426" s="327">
        <f t="shared" si="114"/>
        <v>2</v>
      </c>
      <c r="U426" s="334">
        <f t="shared" si="115"/>
        <v>68.34</v>
      </c>
    </row>
    <row r="427" spans="1:21" ht="45">
      <c r="A427" s="333" t="s">
        <v>3735</v>
      </c>
      <c r="B427" s="87" t="s">
        <v>1810</v>
      </c>
      <c r="C427" s="87" t="s">
        <v>3018</v>
      </c>
      <c r="D427" s="290" t="s">
        <v>3020</v>
      </c>
      <c r="E427" s="87" t="s">
        <v>48</v>
      </c>
      <c r="F427" s="284">
        <v>7</v>
      </c>
      <c r="G427" s="291">
        <v>34.17</v>
      </c>
      <c r="H427" s="291">
        <f t="shared" si="116"/>
        <v>239.19</v>
      </c>
      <c r="I427" s="309">
        <f t="shared" si="113"/>
        <v>5.8441236430794076E-6</v>
      </c>
      <c r="J427" s="291"/>
      <c r="K427" s="291"/>
      <c r="L427" s="291"/>
      <c r="M427" s="291"/>
      <c r="N427" s="291"/>
      <c r="O427" s="291"/>
      <c r="P427" s="291"/>
      <c r="Q427" s="291"/>
      <c r="R427" s="306"/>
      <c r="S427" s="291">
        <f t="shared" si="117"/>
        <v>0</v>
      </c>
      <c r="T427" s="327">
        <f t="shared" si="114"/>
        <v>7</v>
      </c>
      <c r="U427" s="334">
        <f t="shared" si="115"/>
        <v>239.19</v>
      </c>
    </row>
    <row r="428" spans="1:21" ht="45">
      <c r="A428" s="333" t="s">
        <v>3736</v>
      </c>
      <c r="B428" s="87" t="s">
        <v>1810</v>
      </c>
      <c r="C428" s="87" t="s">
        <v>3018</v>
      </c>
      <c r="D428" s="290" t="s">
        <v>3021</v>
      </c>
      <c r="E428" s="87" t="s">
        <v>48</v>
      </c>
      <c r="F428" s="284">
        <v>2</v>
      </c>
      <c r="G428" s="291">
        <v>34.17</v>
      </c>
      <c r="H428" s="291">
        <f t="shared" si="116"/>
        <v>68.34</v>
      </c>
      <c r="I428" s="309">
        <f t="shared" si="113"/>
        <v>1.6697496123084024E-6</v>
      </c>
      <c r="J428" s="291"/>
      <c r="K428" s="291"/>
      <c r="L428" s="291"/>
      <c r="M428" s="291"/>
      <c r="N428" s="291"/>
      <c r="O428" s="291"/>
      <c r="P428" s="291"/>
      <c r="Q428" s="291"/>
      <c r="R428" s="306">
        <v>0</v>
      </c>
      <c r="S428" s="291">
        <f t="shared" si="117"/>
        <v>0</v>
      </c>
      <c r="T428" s="327">
        <f t="shared" si="114"/>
        <v>2</v>
      </c>
      <c r="U428" s="334">
        <f t="shared" si="115"/>
        <v>68.34</v>
      </c>
    </row>
    <row r="429" spans="1:21">
      <c r="A429" s="336"/>
      <c r="B429" s="293"/>
      <c r="C429" s="293"/>
      <c r="D429" s="294" t="s">
        <v>2593</v>
      </c>
      <c r="E429" s="293"/>
      <c r="F429" s="316"/>
      <c r="G429" s="295">
        <v>0</v>
      </c>
      <c r="H429" s="296">
        <f>SUM(H343:H428)</f>
        <v>2473421.4200000009</v>
      </c>
      <c r="I429" s="310">
        <f t="shared" si="113"/>
        <v>6.0433047367870932E-2</v>
      </c>
      <c r="J429" s="296"/>
      <c r="K429" s="296"/>
      <c r="L429" s="296"/>
      <c r="M429" s="296"/>
      <c r="N429" s="296"/>
      <c r="O429" s="296"/>
      <c r="P429" s="296"/>
      <c r="Q429" s="296"/>
      <c r="R429" s="307">
        <v>0</v>
      </c>
      <c r="S429" s="296">
        <f t="shared" ref="S429:U429" si="118">SUM(S343:S428)</f>
        <v>0</v>
      </c>
      <c r="T429" s="329"/>
      <c r="U429" s="337">
        <f t="shared" si="118"/>
        <v>2473421.4363760003</v>
      </c>
    </row>
    <row r="430" spans="1:21">
      <c r="A430" s="331" t="s">
        <v>3737</v>
      </c>
      <c r="B430" s="351" t="s">
        <v>3022</v>
      </c>
      <c r="C430" s="351" t="s">
        <v>3022</v>
      </c>
      <c r="D430" s="351" t="s">
        <v>3022</v>
      </c>
      <c r="E430" s="351" t="s">
        <v>3022</v>
      </c>
      <c r="F430" s="351" t="s">
        <v>3022</v>
      </c>
      <c r="G430" s="288"/>
      <c r="H430" s="288"/>
      <c r="I430" s="311"/>
      <c r="J430" s="288"/>
      <c r="K430" s="288"/>
      <c r="L430" s="288"/>
      <c r="M430" s="288"/>
      <c r="N430" s="288"/>
      <c r="O430" s="288"/>
      <c r="P430" s="288"/>
      <c r="Q430" s="288"/>
      <c r="R430" s="305"/>
      <c r="S430" s="288"/>
      <c r="T430" s="326"/>
      <c r="U430" s="338"/>
    </row>
    <row r="431" spans="1:21">
      <c r="A431" s="336"/>
      <c r="B431" s="293"/>
      <c r="C431" s="293"/>
      <c r="D431" s="294" t="s">
        <v>2593</v>
      </c>
      <c r="E431" s="293"/>
      <c r="F431" s="316"/>
      <c r="G431" s="295">
        <v>0</v>
      </c>
      <c r="H431" s="296"/>
      <c r="I431" s="310">
        <f t="shared" si="113"/>
        <v>0</v>
      </c>
      <c r="J431" s="296"/>
      <c r="K431" s="296"/>
      <c r="L431" s="296"/>
      <c r="M431" s="296"/>
      <c r="N431" s="296"/>
      <c r="O431" s="296"/>
      <c r="P431" s="296"/>
      <c r="Q431" s="296"/>
      <c r="R431" s="307">
        <v>0</v>
      </c>
      <c r="S431" s="296"/>
      <c r="T431" s="329">
        <f t="shared" si="114"/>
        <v>0</v>
      </c>
      <c r="U431" s="337">
        <f t="shared" si="115"/>
        <v>0</v>
      </c>
    </row>
    <row r="432" spans="1:21">
      <c r="A432" s="331" t="s">
        <v>3738</v>
      </c>
      <c r="B432" s="351" t="s">
        <v>3023</v>
      </c>
      <c r="C432" s="351" t="s">
        <v>3023</v>
      </c>
      <c r="D432" s="351" t="s">
        <v>3023</v>
      </c>
      <c r="E432" s="351" t="s">
        <v>3023</v>
      </c>
      <c r="F432" s="351" t="s">
        <v>3023</v>
      </c>
      <c r="G432" s="288"/>
      <c r="H432" s="288"/>
      <c r="I432" s="311"/>
      <c r="J432" s="288"/>
      <c r="K432" s="288"/>
      <c r="L432" s="288"/>
      <c r="M432" s="288"/>
      <c r="N432" s="288"/>
      <c r="O432" s="288"/>
      <c r="P432" s="288"/>
      <c r="Q432" s="288"/>
      <c r="R432" s="305"/>
      <c r="S432" s="288"/>
      <c r="T432" s="326"/>
      <c r="U432" s="338"/>
    </row>
    <row r="433" spans="1:21" ht="60">
      <c r="A433" s="333" t="s">
        <v>3739</v>
      </c>
      <c r="B433" s="87" t="s">
        <v>1810</v>
      </c>
      <c r="C433" s="87" t="s">
        <v>3024</v>
      </c>
      <c r="D433" s="290" t="s">
        <v>3025</v>
      </c>
      <c r="E433" s="87" t="s">
        <v>48</v>
      </c>
      <c r="F433" s="284">
        <v>45</v>
      </c>
      <c r="G433" s="291">
        <v>387.01</v>
      </c>
      <c r="H433" s="291">
        <f t="shared" ref="H433:H440" si="119">ROUND((G433*F433),2)</f>
        <v>17415.45</v>
      </c>
      <c r="I433" s="309">
        <f t="shared" si="113"/>
        <v>4.2551128015329769E-4</v>
      </c>
      <c r="J433" s="291"/>
      <c r="K433" s="291"/>
      <c r="L433" s="291"/>
      <c r="M433" s="291"/>
      <c r="N433" s="291"/>
      <c r="O433" s="291"/>
      <c r="P433" s="291"/>
      <c r="Q433" s="291"/>
      <c r="R433" s="306">
        <v>0</v>
      </c>
      <c r="S433" s="291">
        <f t="shared" ref="S433:S440" si="120">ROUND((R433*P433),2)</f>
        <v>0</v>
      </c>
      <c r="T433" s="327">
        <f t="shared" si="114"/>
        <v>45</v>
      </c>
      <c r="U433" s="334">
        <f t="shared" si="115"/>
        <v>17415.45</v>
      </c>
    </row>
    <row r="434" spans="1:21" ht="75">
      <c r="A434" s="333" t="s">
        <v>3740</v>
      </c>
      <c r="B434" s="87" t="s">
        <v>1810</v>
      </c>
      <c r="C434" s="87" t="s">
        <v>3026</v>
      </c>
      <c r="D434" s="290" t="s">
        <v>3027</v>
      </c>
      <c r="E434" s="87" t="s">
        <v>48</v>
      </c>
      <c r="F434" s="284">
        <v>1</v>
      </c>
      <c r="G434" s="291">
        <v>1080.1600000000001</v>
      </c>
      <c r="H434" s="291">
        <f t="shared" si="119"/>
        <v>1080.1600000000001</v>
      </c>
      <c r="I434" s="309">
        <f t="shared" si="113"/>
        <v>2.6391523869345099E-5</v>
      </c>
      <c r="J434" s="291"/>
      <c r="K434" s="291"/>
      <c r="L434" s="291"/>
      <c r="M434" s="291"/>
      <c r="N434" s="291"/>
      <c r="O434" s="291"/>
      <c r="P434" s="291"/>
      <c r="Q434" s="291"/>
      <c r="R434" s="306">
        <v>0</v>
      </c>
      <c r="S434" s="291">
        <f t="shared" si="120"/>
        <v>0</v>
      </c>
      <c r="T434" s="327">
        <f t="shared" si="114"/>
        <v>1</v>
      </c>
      <c r="U434" s="334">
        <f t="shared" si="115"/>
        <v>1080.1600000000001</v>
      </c>
    </row>
    <row r="435" spans="1:21" ht="60">
      <c r="A435" s="333" t="s">
        <v>3741</v>
      </c>
      <c r="B435" s="87" t="s">
        <v>2974</v>
      </c>
      <c r="C435" s="87" t="s">
        <v>3028</v>
      </c>
      <c r="D435" s="290" t="s">
        <v>3029</v>
      </c>
      <c r="E435" s="87" t="s">
        <v>48</v>
      </c>
      <c r="F435" s="284">
        <v>74</v>
      </c>
      <c r="G435" s="291">
        <v>133.68</v>
      </c>
      <c r="H435" s="291">
        <f t="shared" si="119"/>
        <v>9892.32</v>
      </c>
      <c r="I435" s="309">
        <f t="shared" si="113"/>
        <v>2.416988218441711E-4</v>
      </c>
      <c r="J435" s="291"/>
      <c r="K435" s="291"/>
      <c r="L435" s="291"/>
      <c r="M435" s="291"/>
      <c r="N435" s="291"/>
      <c r="O435" s="291"/>
      <c r="P435" s="291"/>
      <c r="Q435" s="291"/>
      <c r="R435" s="306">
        <v>0</v>
      </c>
      <c r="S435" s="291">
        <f t="shared" si="120"/>
        <v>0</v>
      </c>
      <c r="T435" s="327">
        <f t="shared" si="114"/>
        <v>74</v>
      </c>
      <c r="U435" s="334">
        <f t="shared" si="115"/>
        <v>9892.32</v>
      </c>
    </row>
    <row r="436" spans="1:21" ht="45">
      <c r="A436" s="333" t="s">
        <v>3742</v>
      </c>
      <c r="B436" s="87" t="s">
        <v>1810</v>
      </c>
      <c r="C436" s="87" t="s">
        <v>3030</v>
      </c>
      <c r="D436" s="290" t="s">
        <v>1126</v>
      </c>
      <c r="E436" s="87" t="s">
        <v>107</v>
      </c>
      <c r="F436" s="284">
        <v>1065</v>
      </c>
      <c r="G436" s="291">
        <v>45.61</v>
      </c>
      <c r="H436" s="291">
        <f t="shared" si="119"/>
        <v>48574.65</v>
      </c>
      <c r="I436" s="309">
        <f t="shared" si="113"/>
        <v>1.1868232807362648E-3</v>
      </c>
      <c r="J436" s="291"/>
      <c r="K436" s="291"/>
      <c r="L436" s="291"/>
      <c r="M436" s="291"/>
      <c r="N436" s="291"/>
      <c r="O436" s="291"/>
      <c r="P436" s="291"/>
      <c r="Q436" s="291"/>
      <c r="R436" s="306">
        <v>0</v>
      </c>
      <c r="S436" s="291">
        <f t="shared" si="120"/>
        <v>0</v>
      </c>
      <c r="T436" s="327">
        <f t="shared" si="114"/>
        <v>1065</v>
      </c>
      <c r="U436" s="334">
        <f t="shared" si="115"/>
        <v>48574.65</v>
      </c>
    </row>
    <row r="437" spans="1:21" ht="30">
      <c r="A437" s="333" t="s">
        <v>3743</v>
      </c>
      <c r="B437" s="87" t="s">
        <v>1810</v>
      </c>
      <c r="C437" s="87" t="s">
        <v>3031</v>
      </c>
      <c r="D437" s="290" t="s">
        <v>692</v>
      </c>
      <c r="E437" s="87" t="s">
        <v>107</v>
      </c>
      <c r="F437" s="284">
        <v>50</v>
      </c>
      <c r="G437" s="291">
        <v>63.36</v>
      </c>
      <c r="H437" s="291">
        <f t="shared" si="119"/>
        <v>3168</v>
      </c>
      <c r="I437" s="309">
        <f t="shared" si="113"/>
        <v>7.7403669473119971E-5</v>
      </c>
      <c r="J437" s="291"/>
      <c r="K437" s="291"/>
      <c r="L437" s="291"/>
      <c r="M437" s="291"/>
      <c r="N437" s="291"/>
      <c r="O437" s="291"/>
      <c r="P437" s="291"/>
      <c r="Q437" s="291"/>
      <c r="R437" s="306">
        <v>0</v>
      </c>
      <c r="S437" s="291">
        <f t="shared" si="120"/>
        <v>0</v>
      </c>
      <c r="T437" s="327">
        <f t="shared" si="114"/>
        <v>50</v>
      </c>
      <c r="U437" s="334">
        <f t="shared" si="115"/>
        <v>3168</v>
      </c>
    </row>
    <row r="438" spans="1:21" ht="30">
      <c r="A438" s="333" t="s">
        <v>3744</v>
      </c>
      <c r="B438" s="87" t="s">
        <v>2974</v>
      </c>
      <c r="C438" s="87" t="s">
        <v>3032</v>
      </c>
      <c r="D438" s="290" t="s">
        <v>1136</v>
      </c>
      <c r="E438" s="87" t="s">
        <v>107</v>
      </c>
      <c r="F438" s="284">
        <v>380.24750000000006</v>
      </c>
      <c r="G438" s="291">
        <v>77.22</v>
      </c>
      <c r="H438" s="291">
        <f t="shared" si="119"/>
        <v>29362.71</v>
      </c>
      <c r="I438" s="309">
        <f t="shared" si="113"/>
        <v>7.1741840267521288E-4</v>
      </c>
      <c r="J438" s="291"/>
      <c r="K438" s="291"/>
      <c r="L438" s="291"/>
      <c r="M438" s="291"/>
      <c r="N438" s="291"/>
      <c r="O438" s="291"/>
      <c r="P438" s="291"/>
      <c r="Q438" s="291"/>
      <c r="R438" s="306">
        <v>0</v>
      </c>
      <c r="S438" s="291">
        <f t="shared" si="120"/>
        <v>0</v>
      </c>
      <c r="T438" s="327">
        <f t="shared" si="114"/>
        <v>380.24750000000006</v>
      </c>
      <c r="U438" s="334">
        <f t="shared" si="115"/>
        <v>29362.711950000004</v>
      </c>
    </row>
    <row r="439" spans="1:21" ht="60">
      <c r="A439" s="333" t="s">
        <v>3745</v>
      </c>
      <c r="B439" s="87" t="s">
        <v>133</v>
      </c>
      <c r="C439" s="87">
        <v>92657</v>
      </c>
      <c r="D439" s="292" t="s">
        <v>3033</v>
      </c>
      <c r="E439" s="87" t="s">
        <v>48</v>
      </c>
      <c r="F439" s="284">
        <v>45</v>
      </c>
      <c r="G439" s="291">
        <v>36.270000000000003</v>
      </c>
      <c r="H439" s="291">
        <f t="shared" si="119"/>
        <v>1632.15</v>
      </c>
      <c r="I439" s="309">
        <f t="shared" si="113"/>
        <v>3.9878282553836096E-5</v>
      </c>
      <c r="J439" s="291"/>
      <c r="K439" s="291"/>
      <c r="L439" s="291"/>
      <c r="M439" s="291"/>
      <c r="N439" s="291"/>
      <c r="O439" s="291"/>
      <c r="P439" s="291"/>
      <c r="Q439" s="291"/>
      <c r="R439" s="306">
        <v>0</v>
      </c>
      <c r="S439" s="291">
        <f t="shared" si="120"/>
        <v>0</v>
      </c>
      <c r="T439" s="327">
        <f t="shared" si="114"/>
        <v>45</v>
      </c>
      <c r="U439" s="334">
        <f t="shared" si="115"/>
        <v>1632.15</v>
      </c>
    </row>
    <row r="440" spans="1:21" ht="30">
      <c r="A440" s="333" t="s">
        <v>3746</v>
      </c>
      <c r="B440" s="87" t="s">
        <v>133</v>
      </c>
      <c r="C440" s="87">
        <v>104754</v>
      </c>
      <c r="D440" s="292" t="s">
        <v>3034</v>
      </c>
      <c r="E440" s="87" t="s">
        <v>48</v>
      </c>
      <c r="F440" s="284">
        <v>11</v>
      </c>
      <c r="G440" s="291">
        <v>44.4</v>
      </c>
      <c r="H440" s="291">
        <f t="shared" si="119"/>
        <v>488.4</v>
      </c>
      <c r="I440" s="309">
        <f t="shared" si="113"/>
        <v>1.1933065710439327E-5</v>
      </c>
      <c r="J440" s="291"/>
      <c r="K440" s="291"/>
      <c r="L440" s="291"/>
      <c r="M440" s="291"/>
      <c r="N440" s="291"/>
      <c r="O440" s="291"/>
      <c r="P440" s="291"/>
      <c r="Q440" s="291"/>
      <c r="R440" s="306">
        <v>0</v>
      </c>
      <c r="S440" s="291">
        <f t="shared" si="120"/>
        <v>0</v>
      </c>
      <c r="T440" s="327">
        <f t="shared" si="114"/>
        <v>11</v>
      </c>
      <c r="U440" s="334">
        <f t="shared" si="115"/>
        <v>488.4</v>
      </c>
    </row>
    <row r="441" spans="1:21">
      <c r="A441" s="336"/>
      <c r="B441" s="293"/>
      <c r="C441" s="293"/>
      <c r="D441" s="294" t="s">
        <v>2593</v>
      </c>
      <c r="E441" s="293"/>
      <c r="F441" s="316"/>
      <c r="G441" s="295">
        <v>0</v>
      </c>
      <c r="H441" s="296">
        <f>SUM(H433:H440)</f>
        <v>111613.84</v>
      </c>
      <c r="I441" s="310">
        <f t="shared" si="113"/>
        <v>2.7270583270156868E-3</v>
      </c>
      <c r="J441" s="296"/>
      <c r="K441" s="296"/>
      <c r="L441" s="296"/>
      <c r="M441" s="296"/>
      <c r="N441" s="296"/>
      <c r="O441" s="296"/>
      <c r="P441" s="296"/>
      <c r="Q441" s="296"/>
      <c r="R441" s="307">
        <v>0</v>
      </c>
      <c r="S441" s="296">
        <f>SUM(S433:S440)</f>
        <v>0</v>
      </c>
      <c r="T441" s="329"/>
      <c r="U441" s="337">
        <f t="shared" ref="U441" si="121">SUM(U433:U440)</f>
        <v>111613.84195</v>
      </c>
    </row>
    <row r="442" spans="1:21">
      <c r="A442" s="331" t="s">
        <v>3747</v>
      </c>
      <c r="B442" s="351" t="s">
        <v>3035</v>
      </c>
      <c r="C442" s="351" t="s">
        <v>3035</v>
      </c>
      <c r="D442" s="351" t="s">
        <v>3035</v>
      </c>
      <c r="E442" s="351" t="s">
        <v>3035</v>
      </c>
      <c r="F442" s="351" t="s">
        <v>3035</v>
      </c>
      <c r="G442" s="288"/>
      <c r="H442" s="288"/>
      <c r="I442" s="311"/>
      <c r="J442" s="288"/>
      <c r="K442" s="288"/>
      <c r="L442" s="288"/>
      <c r="M442" s="288"/>
      <c r="N442" s="288"/>
      <c r="O442" s="288"/>
      <c r="P442" s="288"/>
      <c r="Q442" s="288"/>
      <c r="R442" s="305"/>
      <c r="S442" s="288"/>
      <c r="T442" s="326"/>
      <c r="U442" s="338"/>
    </row>
    <row r="443" spans="1:21" ht="60">
      <c r="A443" s="333" t="s">
        <v>3748</v>
      </c>
      <c r="B443" s="87" t="s">
        <v>1810</v>
      </c>
      <c r="C443" s="87" t="s">
        <v>3036</v>
      </c>
      <c r="D443" s="290" t="s">
        <v>3037</v>
      </c>
      <c r="E443" s="87" t="s">
        <v>48</v>
      </c>
      <c r="F443" s="284">
        <v>1</v>
      </c>
      <c r="G443" s="291">
        <v>747.92</v>
      </c>
      <c r="H443" s="291">
        <f>ROUND((G443*F443),2)</f>
        <v>747.92</v>
      </c>
      <c r="I443" s="309">
        <f t="shared" si="113"/>
        <v>1.8273911765257539E-5</v>
      </c>
      <c r="J443" s="291"/>
      <c r="K443" s="291"/>
      <c r="L443" s="291"/>
      <c r="M443" s="291"/>
      <c r="N443" s="291"/>
      <c r="O443" s="291"/>
      <c r="P443" s="291"/>
      <c r="Q443" s="291"/>
      <c r="R443" s="306">
        <v>0</v>
      </c>
      <c r="S443" s="291">
        <f t="shared" ref="S443:S444" si="122">ROUND((R443*P443),2)</f>
        <v>0</v>
      </c>
      <c r="T443" s="327">
        <f t="shared" si="114"/>
        <v>1</v>
      </c>
      <c r="U443" s="334">
        <f t="shared" si="115"/>
        <v>747.92</v>
      </c>
    </row>
    <row r="444" spans="1:21" ht="30">
      <c r="A444" s="333" t="s">
        <v>3749</v>
      </c>
      <c r="B444" s="87" t="s">
        <v>1810</v>
      </c>
      <c r="C444" s="315" t="s">
        <v>2638</v>
      </c>
      <c r="D444" s="292" t="s">
        <v>1858</v>
      </c>
      <c r="E444" s="87" t="s">
        <v>1741</v>
      </c>
      <c r="F444" s="284">
        <v>1065</v>
      </c>
      <c r="G444" s="291">
        <v>13.2</v>
      </c>
      <c r="H444" s="291">
        <f>ROUND((G444*F444),2)</f>
        <v>14058</v>
      </c>
      <c r="I444" s="309">
        <f t="shared" si="113"/>
        <v>3.4347878328696982E-4</v>
      </c>
      <c r="J444" s="291"/>
      <c r="K444" s="291"/>
      <c r="L444" s="291"/>
      <c r="M444" s="291"/>
      <c r="N444" s="291"/>
      <c r="O444" s="291"/>
      <c r="P444" s="291"/>
      <c r="Q444" s="291"/>
      <c r="R444" s="306">
        <v>0</v>
      </c>
      <c r="S444" s="291">
        <f t="shared" si="122"/>
        <v>0</v>
      </c>
      <c r="T444" s="327">
        <f t="shared" si="114"/>
        <v>1065</v>
      </c>
      <c r="U444" s="334">
        <f t="shared" si="115"/>
        <v>14058</v>
      </c>
    </row>
    <row r="445" spans="1:21">
      <c r="A445" s="336"/>
      <c r="B445" s="293"/>
      <c r="C445" s="293"/>
      <c r="D445" s="294" t="s">
        <v>2593</v>
      </c>
      <c r="E445" s="293"/>
      <c r="F445" s="316"/>
      <c r="G445" s="295">
        <v>0</v>
      </c>
      <c r="H445" s="296">
        <f>SUM(H443:H444)</f>
        <v>14805.92</v>
      </c>
      <c r="I445" s="310">
        <f t="shared" si="113"/>
        <v>3.6175269505222738E-4</v>
      </c>
      <c r="J445" s="296"/>
      <c r="K445" s="296"/>
      <c r="L445" s="296"/>
      <c r="M445" s="296"/>
      <c r="N445" s="296"/>
      <c r="O445" s="296"/>
      <c r="P445" s="296"/>
      <c r="Q445" s="296"/>
      <c r="R445" s="307">
        <v>0</v>
      </c>
      <c r="S445" s="296">
        <f>SUM(S443:S444)</f>
        <v>0</v>
      </c>
      <c r="T445" s="329"/>
      <c r="U445" s="337">
        <f t="shared" ref="U445" si="123">SUM(U443:U444)</f>
        <v>14805.92</v>
      </c>
    </row>
    <row r="446" spans="1:21">
      <c r="A446" s="331">
        <v>16</v>
      </c>
      <c r="B446" s="351" t="s">
        <v>1079</v>
      </c>
      <c r="C446" s="351" t="s">
        <v>1079</v>
      </c>
      <c r="D446" s="351" t="s">
        <v>1079</v>
      </c>
      <c r="E446" s="351" t="s">
        <v>1079</v>
      </c>
      <c r="F446" s="351" t="s">
        <v>1079</v>
      </c>
      <c r="G446" s="288"/>
      <c r="H446" s="288"/>
      <c r="I446" s="311"/>
      <c r="J446" s="288"/>
      <c r="K446" s="288"/>
      <c r="L446" s="288"/>
      <c r="M446" s="288"/>
      <c r="N446" s="288"/>
      <c r="O446" s="288"/>
      <c r="P446" s="288"/>
      <c r="Q446" s="288"/>
      <c r="R446" s="305"/>
      <c r="S446" s="288"/>
      <c r="T446" s="326"/>
      <c r="U446" s="338"/>
    </row>
    <row r="447" spans="1:21">
      <c r="A447" s="331" t="s">
        <v>3750</v>
      </c>
      <c r="B447" s="351" t="s">
        <v>3038</v>
      </c>
      <c r="C447" s="351" t="s">
        <v>3038</v>
      </c>
      <c r="D447" s="351" t="s">
        <v>3038</v>
      </c>
      <c r="E447" s="351" t="s">
        <v>3038</v>
      </c>
      <c r="F447" s="351" t="s">
        <v>3038</v>
      </c>
      <c r="G447" s="288"/>
      <c r="H447" s="288"/>
      <c r="I447" s="311"/>
      <c r="J447" s="288"/>
      <c r="K447" s="288"/>
      <c r="L447" s="288"/>
      <c r="M447" s="288"/>
      <c r="N447" s="288"/>
      <c r="O447" s="288"/>
      <c r="P447" s="288"/>
      <c r="Q447" s="288"/>
      <c r="R447" s="305"/>
      <c r="S447" s="288"/>
      <c r="T447" s="326"/>
      <c r="U447" s="338"/>
    </row>
    <row r="448" spans="1:21" ht="30">
      <c r="A448" s="333" t="s">
        <v>3751</v>
      </c>
      <c r="B448" s="87" t="s">
        <v>1810</v>
      </c>
      <c r="C448" s="87" t="s">
        <v>3039</v>
      </c>
      <c r="D448" s="290" t="s">
        <v>3040</v>
      </c>
      <c r="E448" s="87" t="s">
        <v>107</v>
      </c>
      <c r="F448" s="284">
        <v>345</v>
      </c>
      <c r="G448" s="291">
        <v>23.71</v>
      </c>
      <c r="H448" s="291">
        <f t="shared" ref="H448:H460" si="124">ROUND((G448*F448),2)</f>
        <v>8179.95</v>
      </c>
      <c r="I448" s="309">
        <f t="shared" si="113"/>
        <v>1.9986052591750242E-4</v>
      </c>
      <c r="J448" s="291"/>
      <c r="K448" s="291"/>
      <c r="L448" s="291"/>
      <c r="M448" s="291"/>
      <c r="N448" s="291"/>
      <c r="O448" s="291"/>
      <c r="P448" s="291"/>
      <c r="Q448" s="291"/>
      <c r="R448" s="306"/>
      <c r="S448" s="291">
        <f t="shared" ref="S448:S460" si="125">ROUND((R448*P448),2)</f>
        <v>0</v>
      </c>
      <c r="T448" s="327">
        <f t="shared" si="114"/>
        <v>345</v>
      </c>
      <c r="U448" s="334">
        <f t="shared" si="115"/>
        <v>8179.9500000000007</v>
      </c>
    </row>
    <row r="449" spans="1:21" ht="30">
      <c r="A449" s="333" t="s">
        <v>3752</v>
      </c>
      <c r="B449" s="87" t="s">
        <v>1810</v>
      </c>
      <c r="C449" s="87" t="s">
        <v>3041</v>
      </c>
      <c r="D449" s="290" t="s">
        <v>3042</v>
      </c>
      <c r="E449" s="87" t="s">
        <v>48</v>
      </c>
      <c r="F449" s="284">
        <v>5</v>
      </c>
      <c r="G449" s="291">
        <v>542.54999999999995</v>
      </c>
      <c r="H449" s="291">
        <f t="shared" si="124"/>
        <v>2712.75</v>
      </c>
      <c r="I449" s="309">
        <f t="shared" si="113"/>
        <v>6.6280556932830239E-5</v>
      </c>
      <c r="J449" s="291"/>
      <c r="K449" s="291"/>
      <c r="L449" s="291"/>
      <c r="M449" s="291"/>
      <c r="N449" s="291"/>
      <c r="O449" s="291"/>
      <c r="P449" s="291"/>
      <c r="Q449" s="291"/>
      <c r="R449" s="306">
        <v>0</v>
      </c>
      <c r="S449" s="291">
        <f t="shared" si="125"/>
        <v>0</v>
      </c>
      <c r="T449" s="327">
        <f t="shared" si="114"/>
        <v>5</v>
      </c>
      <c r="U449" s="334">
        <f t="shared" si="115"/>
        <v>2712.75</v>
      </c>
    </row>
    <row r="450" spans="1:21">
      <c r="A450" s="333" t="s">
        <v>3753</v>
      </c>
      <c r="B450" s="87" t="s">
        <v>1810</v>
      </c>
      <c r="C450" s="87" t="s">
        <v>3043</v>
      </c>
      <c r="D450" s="290" t="s">
        <v>3044</v>
      </c>
      <c r="E450" s="87" t="s">
        <v>48</v>
      </c>
      <c r="F450" s="284">
        <v>35</v>
      </c>
      <c r="G450" s="291">
        <v>97.01</v>
      </c>
      <c r="H450" s="291">
        <f t="shared" si="124"/>
        <v>3395.35</v>
      </c>
      <c r="I450" s="309">
        <f t="shared" si="113"/>
        <v>8.2958506674734179E-5</v>
      </c>
      <c r="J450" s="291"/>
      <c r="K450" s="291"/>
      <c r="L450" s="291"/>
      <c r="M450" s="291"/>
      <c r="N450" s="291"/>
      <c r="O450" s="291"/>
      <c r="P450" s="291"/>
      <c r="Q450" s="291"/>
      <c r="R450" s="306">
        <v>0</v>
      </c>
      <c r="S450" s="291">
        <f t="shared" si="125"/>
        <v>0</v>
      </c>
      <c r="T450" s="327">
        <f t="shared" si="114"/>
        <v>35</v>
      </c>
      <c r="U450" s="334">
        <f t="shared" si="115"/>
        <v>3395.3500000000004</v>
      </c>
    </row>
    <row r="451" spans="1:21" ht="30">
      <c r="A451" s="333" t="s">
        <v>3754</v>
      </c>
      <c r="B451" s="87" t="s">
        <v>1810</v>
      </c>
      <c r="C451" s="87" t="s">
        <v>3045</v>
      </c>
      <c r="D451" s="290" t="s">
        <v>3046</v>
      </c>
      <c r="E451" s="87" t="s">
        <v>48</v>
      </c>
      <c r="F451" s="284">
        <v>10</v>
      </c>
      <c r="G451" s="291">
        <v>2247.38</v>
      </c>
      <c r="H451" s="291">
        <f t="shared" si="124"/>
        <v>22473.8</v>
      </c>
      <c r="I451" s="309">
        <f t="shared" si="113"/>
        <v>5.4910182670612486E-4</v>
      </c>
      <c r="J451" s="291"/>
      <c r="K451" s="291"/>
      <c r="L451" s="291"/>
      <c r="M451" s="291"/>
      <c r="N451" s="291"/>
      <c r="O451" s="291"/>
      <c r="P451" s="291"/>
      <c r="Q451" s="291"/>
      <c r="R451" s="306">
        <v>0</v>
      </c>
      <c r="S451" s="291">
        <f t="shared" si="125"/>
        <v>0</v>
      </c>
      <c r="T451" s="327">
        <f t="shared" si="114"/>
        <v>10</v>
      </c>
      <c r="U451" s="334">
        <f t="shared" si="115"/>
        <v>22473.800000000003</v>
      </c>
    </row>
    <row r="452" spans="1:21" ht="30">
      <c r="A452" s="333" t="s">
        <v>3755</v>
      </c>
      <c r="B452" s="87" t="s">
        <v>2974</v>
      </c>
      <c r="C452" s="87" t="s">
        <v>2988</v>
      </c>
      <c r="D452" s="290" t="s">
        <v>788</v>
      </c>
      <c r="E452" s="87" t="s">
        <v>107</v>
      </c>
      <c r="F452" s="284">
        <v>3210</v>
      </c>
      <c r="G452" s="291">
        <v>18.91</v>
      </c>
      <c r="H452" s="291">
        <f t="shared" si="124"/>
        <v>60701.1</v>
      </c>
      <c r="I452" s="309">
        <f t="shared" si="113"/>
        <v>1.4831085483127532E-3</v>
      </c>
      <c r="J452" s="291"/>
      <c r="K452" s="291"/>
      <c r="L452" s="291"/>
      <c r="M452" s="291"/>
      <c r="N452" s="291"/>
      <c r="O452" s="291"/>
      <c r="P452" s="291"/>
      <c r="Q452" s="291"/>
      <c r="R452" s="306">
        <v>0</v>
      </c>
      <c r="S452" s="291">
        <f t="shared" si="125"/>
        <v>0</v>
      </c>
      <c r="T452" s="327">
        <f t="shared" si="114"/>
        <v>3210</v>
      </c>
      <c r="U452" s="334">
        <f t="shared" si="115"/>
        <v>60701.1</v>
      </c>
    </row>
    <row r="453" spans="1:21" ht="30">
      <c r="A453" s="333" t="s">
        <v>3756</v>
      </c>
      <c r="B453" s="87" t="s">
        <v>1810</v>
      </c>
      <c r="C453" s="87" t="s">
        <v>2987</v>
      </c>
      <c r="D453" s="290" t="s">
        <v>1312</v>
      </c>
      <c r="E453" s="87" t="s">
        <v>107</v>
      </c>
      <c r="F453" s="284">
        <v>1680</v>
      </c>
      <c r="G453" s="291">
        <v>31.18</v>
      </c>
      <c r="H453" s="291">
        <f t="shared" si="124"/>
        <v>52382.400000000001</v>
      </c>
      <c r="I453" s="309">
        <f t="shared" si="113"/>
        <v>1.2798579469093306E-3</v>
      </c>
      <c r="J453" s="291"/>
      <c r="K453" s="291"/>
      <c r="L453" s="291"/>
      <c r="M453" s="291"/>
      <c r="N453" s="291"/>
      <c r="O453" s="291"/>
      <c r="P453" s="291"/>
      <c r="Q453" s="291"/>
      <c r="R453" s="306">
        <v>0</v>
      </c>
      <c r="S453" s="291">
        <f t="shared" si="125"/>
        <v>0</v>
      </c>
      <c r="T453" s="327">
        <f t="shared" si="114"/>
        <v>1680</v>
      </c>
      <c r="U453" s="334">
        <f t="shared" si="115"/>
        <v>52382.400000000001</v>
      </c>
    </row>
    <row r="454" spans="1:21" ht="30">
      <c r="A454" s="333" t="s">
        <v>3757</v>
      </c>
      <c r="B454" s="87" t="s">
        <v>1810</v>
      </c>
      <c r="C454" s="87" t="s">
        <v>3047</v>
      </c>
      <c r="D454" s="290" t="s">
        <v>3048</v>
      </c>
      <c r="E454" s="87" t="s">
        <v>107</v>
      </c>
      <c r="F454" s="284">
        <v>624</v>
      </c>
      <c r="G454" s="291">
        <v>37.47</v>
      </c>
      <c r="H454" s="291">
        <f t="shared" si="124"/>
        <v>23381.279999999999</v>
      </c>
      <c r="I454" s="309">
        <f t="shared" si="113"/>
        <v>5.7127426419774949E-4</v>
      </c>
      <c r="J454" s="291"/>
      <c r="K454" s="291"/>
      <c r="L454" s="291"/>
      <c r="M454" s="291"/>
      <c r="N454" s="291"/>
      <c r="O454" s="291"/>
      <c r="P454" s="291"/>
      <c r="Q454" s="291"/>
      <c r="R454" s="306">
        <v>0</v>
      </c>
      <c r="S454" s="291">
        <f t="shared" si="125"/>
        <v>0</v>
      </c>
      <c r="T454" s="327">
        <f t="shared" si="114"/>
        <v>624</v>
      </c>
      <c r="U454" s="334">
        <f t="shared" si="115"/>
        <v>23381.279999999999</v>
      </c>
    </row>
    <row r="455" spans="1:21" ht="30">
      <c r="A455" s="333" t="s">
        <v>3758</v>
      </c>
      <c r="B455" s="87" t="s">
        <v>1810</v>
      </c>
      <c r="C455" s="87" t="s">
        <v>3049</v>
      </c>
      <c r="D455" s="290" t="s">
        <v>3050</v>
      </c>
      <c r="E455" s="87" t="s">
        <v>107</v>
      </c>
      <c r="F455" s="284">
        <v>3117.0000000000005</v>
      </c>
      <c r="G455" s="291">
        <v>43.78</v>
      </c>
      <c r="H455" s="291">
        <f t="shared" si="124"/>
        <v>136462.26</v>
      </c>
      <c r="I455" s="309">
        <f t="shared" si="113"/>
        <v>3.3341791883191164E-3</v>
      </c>
      <c r="J455" s="291"/>
      <c r="K455" s="291"/>
      <c r="L455" s="291"/>
      <c r="M455" s="291"/>
      <c r="N455" s="291"/>
      <c r="O455" s="291"/>
      <c r="P455" s="291"/>
      <c r="Q455" s="291"/>
      <c r="R455" s="306">
        <v>0</v>
      </c>
      <c r="S455" s="291">
        <f t="shared" si="125"/>
        <v>0</v>
      </c>
      <c r="T455" s="327">
        <f t="shared" si="114"/>
        <v>3117.0000000000005</v>
      </c>
      <c r="U455" s="334">
        <f t="shared" si="115"/>
        <v>136462.26</v>
      </c>
    </row>
    <row r="456" spans="1:21" ht="45">
      <c r="A456" s="333" t="s">
        <v>3759</v>
      </c>
      <c r="B456" s="87" t="s">
        <v>1810</v>
      </c>
      <c r="C456" s="87" t="s">
        <v>3051</v>
      </c>
      <c r="D456" s="290" t="s">
        <v>1088</v>
      </c>
      <c r="E456" s="87" t="s">
        <v>48</v>
      </c>
      <c r="F456" s="284">
        <v>197</v>
      </c>
      <c r="G456" s="291">
        <v>33.479999999999997</v>
      </c>
      <c r="H456" s="291">
        <f t="shared" si="124"/>
        <v>6595.56</v>
      </c>
      <c r="I456" s="309">
        <f t="shared" si="113"/>
        <v>1.6114916232011714E-4</v>
      </c>
      <c r="J456" s="291"/>
      <c r="K456" s="291"/>
      <c r="L456" s="291"/>
      <c r="M456" s="291"/>
      <c r="N456" s="291"/>
      <c r="O456" s="291"/>
      <c r="P456" s="291"/>
      <c r="Q456" s="291"/>
      <c r="R456" s="306">
        <v>0</v>
      </c>
      <c r="S456" s="291">
        <f t="shared" si="125"/>
        <v>0</v>
      </c>
      <c r="T456" s="327">
        <f t="shared" si="114"/>
        <v>197</v>
      </c>
      <c r="U456" s="334">
        <f t="shared" si="115"/>
        <v>6595.5599999999995</v>
      </c>
    </row>
    <row r="457" spans="1:21" ht="45">
      <c r="A457" s="333" t="s">
        <v>3760</v>
      </c>
      <c r="B457" s="87" t="s">
        <v>1810</v>
      </c>
      <c r="C457" s="87" t="s">
        <v>3052</v>
      </c>
      <c r="D457" s="290" t="s">
        <v>749</v>
      </c>
      <c r="E457" s="87" t="s">
        <v>48</v>
      </c>
      <c r="F457" s="284">
        <v>142</v>
      </c>
      <c r="G457" s="291">
        <v>36.909999999999997</v>
      </c>
      <c r="H457" s="291">
        <f t="shared" si="124"/>
        <v>5241.22</v>
      </c>
      <c r="I457" s="309">
        <f t="shared" si="113"/>
        <v>1.2805860496082887E-4</v>
      </c>
      <c r="J457" s="291"/>
      <c r="K457" s="291"/>
      <c r="L457" s="291"/>
      <c r="M457" s="291"/>
      <c r="N457" s="291"/>
      <c r="O457" s="291"/>
      <c r="P457" s="291"/>
      <c r="Q457" s="291"/>
      <c r="R457" s="306">
        <v>0</v>
      </c>
      <c r="S457" s="291">
        <f t="shared" si="125"/>
        <v>0</v>
      </c>
      <c r="T457" s="327">
        <f t="shared" si="114"/>
        <v>142</v>
      </c>
      <c r="U457" s="334">
        <f t="shared" si="115"/>
        <v>5241.2199999999993</v>
      </c>
    </row>
    <row r="458" spans="1:21" ht="45">
      <c r="A458" s="333" t="s">
        <v>3761</v>
      </c>
      <c r="B458" s="87" t="s">
        <v>1810</v>
      </c>
      <c r="C458" s="87" t="s">
        <v>2863</v>
      </c>
      <c r="D458" s="290" t="s">
        <v>752</v>
      </c>
      <c r="E458" s="87" t="s">
        <v>48</v>
      </c>
      <c r="F458" s="284">
        <v>129</v>
      </c>
      <c r="G458" s="291">
        <v>30.33</v>
      </c>
      <c r="H458" s="291">
        <f t="shared" si="124"/>
        <v>3912.57</v>
      </c>
      <c r="I458" s="309">
        <f t="shared" si="113"/>
        <v>9.5595730767185922E-5</v>
      </c>
      <c r="J458" s="291"/>
      <c r="K458" s="291"/>
      <c r="L458" s="291"/>
      <c r="M458" s="291"/>
      <c r="N458" s="291"/>
      <c r="O458" s="291"/>
      <c r="P458" s="291"/>
      <c r="Q458" s="291"/>
      <c r="R458" s="306">
        <v>0</v>
      </c>
      <c r="S458" s="291">
        <f t="shared" si="125"/>
        <v>0</v>
      </c>
      <c r="T458" s="327">
        <f t="shared" si="114"/>
        <v>129</v>
      </c>
      <c r="U458" s="334">
        <f t="shared" si="115"/>
        <v>3912.5699999999997</v>
      </c>
    </row>
    <row r="459" spans="1:21" ht="45">
      <c r="A459" s="333" t="s">
        <v>3762</v>
      </c>
      <c r="B459" s="87" t="s">
        <v>133</v>
      </c>
      <c r="C459" s="87" t="s">
        <v>3053</v>
      </c>
      <c r="D459" s="290" t="s">
        <v>3054</v>
      </c>
      <c r="E459" s="87" t="s">
        <v>1549</v>
      </c>
      <c r="F459" s="284">
        <v>8</v>
      </c>
      <c r="G459" s="291">
        <v>481.61</v>
      </c>
      <c r="H459" s="291">
        <f t="shared" si="124"/>
        <v>3852.88</v>
      </c>
      <c r="I459" s="309">
        <f t="shared" si="113"/>
        <v>9.4137326401387143E-5</v>
      </c>
      <c r="J459" s="291"/>
      <c r="K459" s="291"/>
      <c r="L459" s="291"/>
      <c r="M459" s="291"/>
      <c r="N459" s="291"/>
      <c r="O459" s="291"/>
      <c r="P459" s="291"/>
      <c r="Q459" s="291"/>
      <c r="R459" s="306"/>
      <c r="S459" s="291">
        <f t="shared" si="125"/>
        <v>0</v>
      </c>
      <c r="T459" s="327">
        <f t="shared" si="114"/>
        <v>8</v>
      </c>
      <c r="U459" s="334">
        <f t="shared" si="115"/>
        <v>3852.88</v>
      </c>
    </row>
    <row r="460" spans="1:21" ht="30">
      <c r="A460" s="333" t="s">
        <v>3763</v>
      </c>
      <c r="B460" s="87" t="s">
        <v>1810</v>
      </c>
      <c r="C460" s="87" t="s">
        <v>3055</v>
      </c>
      <c r="D460" s="290" t="s">
        <v>3056</v>
      </c>
      <c r="E460" s="87" t="s">
        <v>1549</v>
      </c>
      <c r="F460" s="284">
        <v>48</v>
      </c>
      <c r="G460" s="291">
        <v>3364.91</v>
      </c>
      <c r="H460" s="291">
        <f t="shared" si="124"/>
        <v>161515.68</v>
      </c>
      <c r="I460" s="309">
        <f t="shared" ref="I460:I523" si="126">H460/$H$741</f>
        <v>3.9463088097999406E-3</v>
      </c>
      <c r="J460" s="291"/>
      <c r="K460" s="291"/>
      <c r="L460" s="291"/>
      <c r="M460" s="291"/>
      <c r="N460" s="291"/>
      <c r="O460" s="291"/>
      <c r="P460" s="291"/>
      <c r="Q460" s="291"/>
      <c r="R460" s="306">
        <v>0</v>
      </c>
      <c r="S460" s="291">
        <f t="shared" si="125"/>
        <v>0</v>
      </c>
      <c r="T460" s="327">
        <f t="shared" ref="T460:T523" si="127">F460-R460</f>
        <v>48</v>
      </c>
      <c r="U460" s="334">
        <f t="shared" ref="U460:U523" si="128">T460*G460</f>
        <v>161515.68</v>
      </c>
    </row>
    <row r="461" spans="1:21">
      <c r="A461" s="336"/>
      <c r="B461" s="293"/>
      <c r="C461" s="293"/>
      <c r="D461" s="294" t="s">
        <v>2593</v>
      </c>
      <c r="E461" s="293"/>
      <c r="F461" s="316"/>
      <c r="G461" s="295">
        <v>0</v>
      </c>
      <c r="H461" s="296">
        <f>SUM(H448:H460)</f>
        <v>490806.8</v>
      </c>
      <c r="I461" s="310">
        <f t="shared" si="126"/>
        <v>1.1991870998219601E-2</v>
      </c>
      <c r="J461" s="296"/>
      <c r="K461" s="296"/>
      <c r="L461" s="296"/>
      <c r="M461" s="296"/>
      <c r="N461" s="296"/>
      <c r="O461" s="296"/>
      <c r="P461" s="296"/>
      <c r="Q461" s="296"/>
      <c r="R461" s="307">
        <v>0</v>
      </c>
      <c r="S461" s="296">
        <f>SUM(S448:S460)</f>
        <v>0</v>
      </c>
      <c r="T461" s="329"/>
      <c r="U461" s="337">
        <f t="shared" ref="U461" si="129">SUM(U448:U460)</f>
        <v>490806.8</v>
      </c>
    </row>
    <row r="462" spans="1:21">
      <c r="A462" s="331" t="s">
        <v>3764</v>
      </c>
      <c r="B462" s="351" t="s">
        <v>3057</v>
      </c>
      <c r="C462" s="351" t="s">
        <v>3057</v>
      </c>
      <c r="D462" s="351" t="s">
        <v>3057</v>
      </c>
      <c r="E462" s="351" t="s">
        <v>3057</v>
      </c>
      <c r="F462" s="351" t="s">
        <v>3057</v>
      </c>
      <c r="G462" s="288"/>
      <c r="H462" s="288"/>
      <c r="I462" s="311"/>
      <c r="J462" s="288"/>
      <c r="K462" s="288"/>
      <c r="L462" s="288"/>
      <c r="M462" s="288"/>
      <c r="N462" s="288"/>
      <c r="O462" s="288"/>
      <c r="P462" s="288"/>
      <c r="Q462" s="288"/>
      <c r="R462" s="305"/>
      <c r="S462" s="288"/>
      <c r="T462" s="326"/>
      <c r="U462" s="338"/>
    </row>
    <row r="463" spans="1:21" ht="90">
      <c r="A463" s="333" t="s">
        <v>3765</v>
      </c>
      <c r="B463" s="87" t="s">
        <v>1810</v>
      </c>
      <c r="C463" s="87" t="s">
        <v>3058</v>
      </c>
      <c r="D463" s="290" t="s">
        <v>3059</v>
      </c>
      <c r="E463" s="87" t="s">
        <v>48</v>
      </c>
      <c r="F463" s="284">
        <v>2</v>
      </c>
      <c r="G463" s="291">
        <v>24887.29</v>
      </c>
      <c r="H463" s="291">
        <f t="shared" ref="H463:H474" si="130">ROUND((G463*F463),2)</f>
        <v>49774.58</v>
      </c>
      <c r="I463" s="309">
        <f t="shared" si="126"/>
        <v>1.2161411421980327E-3</v>
      </c>
      <c r="J463" s="291"/>
      <c r="K463" s="291"/>
      <c r="L463" s="291"/>
      <c r="M463" s="291"/>
      <c r="N463" s="291"/>
      <c r="O463" s="291"/>
      <c r="P463" s="291"/>
      <c r="Q463" s="291"/>
      <c r="R463" s="306">
        <v>0</v>
      </c>
      <c r="S463" s="291">
        <f t="shared" ref="S463:S474" si="131">ROUND((R463*P463),2)</f>
        <v>0</v>
      </c>
      <c r="T463" s="327">
        <f t="shared" si="127"/>
        <v>2</v>
      </c>
      <c r="U463" s="334">
        <f t="shared" si="128"/>
        <v>49774.58</v>
      </c>
    </row>
    <row r="464" spans="1:21" ht="45">
      <c r="A464" s="333" t="s">
        <v>3766</v>
      </c>
      <c r="B464" s="87" t="s">
        <v>1810</v>
      </c>
      <c r="C464" s="87">
        <v>160658</v>
      </c>
      <c r="D464" s="290" t="s">
        <v>1228</v>
      </c>
      <c r="E464" s="87" t="s">
        <v>48</v>
      </c>
      <c r="F464" s="284">
        <v>3</v>
      </c>
      <c r="G464" s="291">
        <v>367.07</v>
      </c>
      <c r="H464" s="291">
        <f t="shared" si="130"/>
        <v>1101.21</v>
      </c>
      <c r="I464" s="309">
        <f t="shared" si="126"/>
        <v>2.6905838024145972E-5</v>
      </c>
      <c r="J464" s="291"/>
      <c r="K464" s="291"/>
      <c r="L464" s="291"/>
      <c r="M464" s="291"/>
      <c r="N464" s="291"/>
      <c r="O464" s="291"/>
      <c r="P464" s="291"/>
      <c r="Q464" s="291"/>
      <c r="R464" s="306">
        <v>0</v>
      </c>
      <c r="S464" s="291">
        <f t="shared" si="131"/>
        <v>0</v>
      </c>
      <c r="T464" s="327">
        <f t="shared" si="127"/>
        <v>3</v>
      </c>
      <c r="U464" s="334">
        <f t="shared" si="128"/>
        <v>1101.21</v>
      </c>
    </row>
    <row r="465" spans="1:21" ht="45">
      <c r="A465" s="333" t="s">
        <v>3767</v>
      </c>
      <c r="B465" s="87" t="s">
        <v>1810</v>
      </c>
      <c r="C465" s="87">
        <v>160659</v>
      </c>
      <c r="D465" s="290" t="s">
        <v>3060</v>
      </c>
      <c r="E465" s="87" t="s">
        <v>48</v>
      </c>
      <c r="F465" s="284">
        <v>3</v>
      </c>
      <c r="G465" s="291">
        <v>432.13</v>
      </c>
      <c r="H465" s="291">
        <f t="shared" si="130"/>
        <v>1296.3900000000001</v>
      </c>
      <c r="I465" s="309">
        <f t="shared" si="126"/>
        <v>3.1674666372556184E-5</v>
      </c>
      <c r="J465" s="291"/>
      <c r="K465" s="291"/>
      <c r="L465" s="291"/>
      <c r="M465" s="291"/>
      <c r="N465" s="291"/>
      <c r="O465" s="291"/>
      <c r="P465" s="291"/>
      <c r="Q465" s="291"/>
      <c r="R465" s="306">
        <v>0</v>
      </c>
      <c r="S465" s="291">
        <f t="shared" si="131"/>
        <v>0</v>
      </c>
      <c r="T465" s="327">
        <f t="shared" si="127"/>
        <v>3</v>
      </c>
      <c r="U465" s="334">
        <f t="shared" si="128"/>
        <v>1296.3899999999999</v>
      </c>
    </row>
    <row r="466" spans="1:21" ht="30">
      <c r="A466" s="333" t="s">
        <v>3768</v>
      </c>
      <c r="B466" s="87" t="s">
        <v>133</v>
      </c>
      <c r="C466" s="87" t="s">
        <v>3061</v>
      </c>
      <c r="D466" s="290" t="s">
        <v>3062</v>
      </c>
      <c r="E466" s="87" t="s">
        <v>48</v>
      </c>
      <c r="F466" s="284">
        <v>6</v>
      </c>
      <c r="G466" s="291">
        <v>95.86</v>
      </c>
      <c r="H466" s="291">
        <f t="shared" si="130"/>
        <v>575.16</v>
      </c>
      <c r="I466" s="309">
        <f t="shared" si="126"/>
        <v>1.405287074941909E-5</v>
      </c>
      <c r="J466" s="291"/>
      <c r="K466" s="291"/>
      <c r="L466" s="291"/>
      <c r="M466" s="291"/>
      <c r="N466" s="291"/>
      <c r="O466" s="291"/>
      <c r="P466" s="291"/>
      <c r="Q466" s="291"/>
      <c r="R466" s="306">
        <v>0</v>
      </c>
      <c r="S466" s="291">
        <f t="shared" si="131"/>
        <v>0</v>
      </c>
      <c r="T466" s="327">
        <f t="shared" si="127"/>
        <v>6</v>
      </c>
      <c r="U466" s="334">
        <f t="shared" si="128"/>
        <v>575.16</v>
      </c>
    </row>
    <row r="467" spans="1:21" ht="45">
      <c r="A467" s="333" t="s">
        <v>3769</v>
      </c>
      <c r="B467" s="87" t="s">
        <v>133</v>
      </c>
      <c r="C467" s="87" t="s">
        <v>3063</v>
      </c>
      <c r="D467" s="290" t="s">
        <v>3064</v>
      </c>
      <c r="E467" s="87" t="s">
        <v>107</v>
      </c>
      <c r="F467" s="284">
        <v>60</v>
      </c>
      <c r="G467" s="291">
        <v>22.3</v>
      </c>
      <c r="H467" s="291">
        <f t="shared" si="130"/>
        <v>1338</v>
      </c>
      <c r="I467" s="309">
        <f t="shared" si="126"/>
        <v>3.2691322523685137E-5</v>
      </c>
      <c r="J467" s="291"/>
      <c r="K467" s="291"/>
      <c r="L467" s="291"/>
      <c r="M467" s="291"/>
      <c r="N467" s="291"/>
      <c r="O467" s="291"/>
      <c r="P467" s="291"/>
      <c r="Q467" s="291"/>
      <c r="R467" s="306">
        <v>0</v>
      </c>
      <c r="S467" s="291">
        <f t="shared" si="131"/>
        <v>0</v>
      </c>
      <c r="T467" s="327">
        <f t="shared" si="127"/>
        <v>60</v>
      </c>
      <c r="U467" s="334">
        <f t="shared" si="128"/>
        <v>1338</v>
      </c>
    </row>
    <row r="468" spans="1:21" ht="45">
      <c r="A468" s="333" t="s">
        <v>3770</v>
      </c>
      <c r="B468" s="87" t="s">
        <v>133</v>
      </c>
      <c r="C468" s="87">
        <v>100802</v>
      </c>
      <c r="D468" s="292" t="s">
        <v>3065</v>
      </c>
      <c r="E468" s="87" t="s">
        <v>107</v>
      </c>
      <c r="F468" s="284">
        <v>20</v>
      </c>
      <c r="G468" s="291">
        <v>53.59</v>
      </c>
      <c r="H468" s="291">
        <f t="shared" si="130"/>
        <v>1071.8</v>
      </c>
      <c r="I468" s="309">
        <f t="shared" si="126"/>
        <v>2.618726418601325E-5</v>
      </c>
      <c r="J468" s="291"/>
      <c r="K468" s="291"/>
      <c r="L468" s="291"/>
      <c r="M468" s="291"/>
      <c r="N468" s="291"/>
      <c r="O468" s="291"/>
      <c r="P468" s="291"/>
      <c r="Q468" s="291"/>
      <c r="R468" s="306">
        <v>0</v>
      </c>
      <c r="S468" s="291">
        <f t="shared" si="131"/>
        <v>0</v>
      </c>
      <c r="T468" s="327">
        <f t="shared" si="127"/>
        <v>20</v>
      </c>
      <c r="U468" s="334">
        <f t="shared" si="128"/>
        <v>1071.8000000000002</v>
      </c>
    </row>
    <row r="469" spans="1:21" ht="45">
      <c r="A469" s="333" t="s">
        <v>3771</v>
      </c>
      <c r="B469" s="87" t="s">
        <v>133</v>
      </c>
      <c r="C469" s="87" t="s">
        <v>3066</v>
      </c>
      <c r="D469" s="290" t="s">
        <v>3067</v>
      </c>
      <c r="E469" s="87" t="s">
        <v>48</v>
      </c>
      <c r="F469" s="284">
        <v>10</v>
      </c>
      <c r="G469" s="291">
        <v>66.77</v>
      </c>
      <c r="H469" s="291">
        <f t="shared" si="130"/>
        <v>667.7</v>
      </c>
      <c r="I469" s="309">
        <f t="shared" si="126"/>
        <v>1.6313898392424938E-5</v>
      </c>
      <c r="J469" s="291"/>
      <c r="K469" s="291"/>
      <c r="L469" s="291"/>
      <c r="M469" s="291"/>
      <c r="N469" s="291"/>
      <c r="O469" s="291"/>
      <c r="P469" s="291"/>
      <c r="Q469" s="291"/>
      <c r="R469" s="306">
        <v>0</v>
      </c>
      <c r="S469" s="291">
        <f t="shared" si="131"/>
        <v>0</v>
      </c>
      <c r="T469" s="327">
        <f t="shared" si="127"/>
        <v>10</v>
      </c>
      <c r="U469" s="334">
        <f t="shared" si="128"/>
        <v>667.69999999999993</v>
      </c>
    </row>
    <row r="470" spans="1:21" ht="45">
      <c r="A470" s="333" t="s">
        <v>3772</v>
      </c>
      <c r="B470" s="87" t="s">
        <v>133</v>
      </c>
      <c r="C470" s="87" t="s">
        <v>3068</v>
      </c>
      <c r="D470" s="290" t="s">
        <v>3069</v>
      </c>
      <c r="E470" s="87" t="s">
        <v>48</v>
      </c>
      <c r="F470" s="284">
        <v>28</v>
      </c>
      <c r="G470" s="291">
        <v>26.83</v>
      </c>
      <c r="H470" s="291">
        <f t="shared" si="130"/>
        <v>751.24</v>
      </c>
      <c r="I470" s="309">
        <f t="shared" si="126"/>
        <v>1.8355029247154875E-5</v>
      </c>
      <c r="J470" s="291"/>
      <c r="K470" s="291"/>
      <c r="L470" s="291"/>
      <c r="M470" s="291"/>
      <c r="N470" s="291"/>
      <c r="O470" s="291"/>
      <c r="P470" s="291"/>
      <c r="Q470" s="291"/>
      <c r="R470" s="306">
        <v>0</v>
      </c>
      <c r="S470" s="291">
        <f t="shared" si="131"/>
        <v>0</v>
      </c>
      <c r="T470" s="327">
        <f t="shared" si="127"/>
        <v>28</v>
      </c>
      <c r="U470" s="334">
        <f t="shared" si="128"/>
        <v>751.24</v>
      </c>
    </row>
    <row r="471" spans="1:21" ht="45">
      <c r="A471" s="333" t="s">
        <v>3773</v>
      </c>
      <c r="B471" s="87" t="s">
        <v>133</v>
      </c>
      <c r="C471" s="87" t="s">
        <v>3070</v>
      </c>
      <c r="D471" s="290" t="s">
        <v>3071</v>
      </c>
      <c r="E471" s="87" t="s">
        <v>48</v>
      </c>
      <c r="F471" s="284">
        <v>6</v>
      </c>
      <c r="G471" s="291">
        <v>38.25</v>
      </c>
      <c r="H471" s="291">
        <f t="shared" si="130"/>
        <v>229.5</v>
      </c>
      <c r="I471" s="309">
        <f t="shared" si="126"/>
        <v>5.6073681010356797E-6</v>
      </c>
      <c r="J471" s="291"/>
      <c r="K471" s="291"/>
      <c r="L471" s="291"/>
      <c r="M471" s="291"/>
      <c r="N471" s="291"/>
      <c r="O471" s="291"/>
      <c r="P471" s="291"/>
      <c r="Q471" s="291"/>
      <c r="R471" s="306">
        <v>0</v>
      </c>
      <c r="S471" s="291">
        <f t="shared" si="131"/>
        <v>0</v>
      </c>
      <c r="T471" s="327">
        <f t="shared" si="127"/>
        <v>6</v>
      </c>
      <c r="U471" s="334">
        <f t="shared" si="128"/>
        <v>229.5</v>
      </c>
    </row>
    <row r="472" spans="1:21" ht="45">
      <c r="A472" s="333" t="s">
        <v>3774</v>
      </c>
      <c r="B472" s="87" t="s">
        <v>133</v>
      </c>
      <c r="C472" s="87" t="s">
        <v>3072</v>
      </c>
      <c r="D472" s="290" t="s">
        <v>3073</v>
      </c>
      <c r="E472" s="87" t="s">
        <v>48</v>
      </c>
      <c r="F472" s="284">
        <v>6</v>
      </c>
      <c r="G472" s="291">
        <v>85.65</v>
      </c>
      <c r="H472" s="291">
        <f t="shared" si="130"/>
        <v>513.9</v>
      </c>
      <c r="I472" s="309">
        <f t="shared" si="126"/>
        <v>1.2556106610554403E-5</v>
      </c>
      <c r="J472" s="291"/>
      <c r="K472" s="291"/>
      <c r="L472" s="291"/>
      <c r="M472" s="291"/>
      <c r="N472" s="291"/>
      <c r="O472" s="291"/>
      <c r="P472" s="291"/>
      <c r="Q472" s="291"/>
      <c r="R472" s="306">
        <v>0</v>
      </c>
      <c r="S472" s="291">
        <f t="shared" si="131"/>
        <v>0</v>
      </c>
      <c r="T472" s="327">
        <f t="shared" si="127"/>
        <v>6</v>
      </c>
      <c r="U472" s="334">
        <f t="shared" si="128"/>
        <v>513.90000000000009</v>
      </c>
    </row>
    <row r="473" spans="1:21" ht="30">
      <c r="A473" s="333" t="s">
        <v>3775</v>
      </c>
      <c r="B473" s="87" t="s">
        <v>133</v>
      </c>
      <c r="C473" s="87">
        <v>95250</v>
      </c>
      <c r="D473" s="290" t="s">
        <v>3074</v>
      </c>
      <c r="E473" s="87" t="s">
        <v>48</v>
      </c>
      <c r="F473" s="284">
        <v>8</v>
      </c>
      <c r="G473" s="291">
        <v>129.37</v>
      </c>
      <c r="H473" s="291">
        <f t="shared" si="130"/>
        <v>1034.96</v>
      </c>
      <c r="I473" s="309">
        <f t="shared" si="126"/>
        <v>2.5287153332670532E-5</v>
      </c>
      <c r="J473" s="291"/>
      <c r="K473" s="291"/>
      <c r="L473" s="291"/>
      <c r="M473" s="291"/>
      <c r="N473" s="291"/>
      <c r="O473" s="291"/>
      <c r="P473" s="291"/>
      <c r="Q473" s="291"/>
      <c r="R473" s="306">
        <v>0</v>
      </c>
      <c r="S473" s="291">
        <f t="shared" si="131"/>
        <v>0</v>
      </c>
      <c r="T473" s="327">
        <f t="shared" si="127"/>
        <v>8</v>
      </c>
      <c r="U473" s="334">
        <f t="shared" si="128"/>
        <v>1034.96</v>
      </c>
    </row>
    <row r="474" spans="1:21" ht="30">
      <c r="A474" s="333" t="s">
        <v>3776</v>
      </c>
      <c r="B474" s="87" t="s">
        <v>133</v>
      </c>
      <c r="C474" s="87" t="s">
        <v>3075</v>
      </c>
      <c r="D474" s="290" t="s">
        <v>3076</v>
      </c>
      <c r="E474" s="87" t="s">
        <v>48</v>
      </c>
      <c r="F474" s="284">
        <v>14</v>
      </c>
      <c r="G474" s="291">
        <v>70.430000000000007</v>
      </c>
      <c r="H474" s="291">
        <f t="shared" si="130"/>
        <v>986.02</v>
      </c>
      <c r="I474" s="309">
        <f t="shared" si="126"/>
        <v>2.4091403463979088E-5</v>
      </c>
      <c r="J474" s="291"/>
      <c r="K474" s="291"/>
      <c r="L474" s="291"/>
      <c r="M474" s="291"/>
      <c r="N474" s="291"/>
      <c r="O474" s="291"/>
      <c r="P474" s="291"/>
      <c r="Q474" s="291"/>
      <c r="R474" s="306">
        <v>0</v>
      </c>
      <c r="S474" s="291">
        <f t="shared" si="131"/>
        <v>0</v>
      </c>
      <c r="T474" s="327">
        <f t="shared" si="127"/>
        <v>14</v>
      </c>
      <c r="U474" s="334">
        <f t="shared" si="128"/>
        <v>986.0200000000001</v>
      </c>
    </row>
    <row r="475" spans="1:21">
      <c r="A475" s="336"/>
      <c r="B475" s="293"/>
      <c r="C475" s="293"/>
      <c r="D475" s="294" t="s">
        <v>2593</v>
      </c>
      <c r="E475" s="293"/>
      <c r="F475" s="316"/>
      <c r="G475" s="295">
        <v>0</v>
      </c>
      <c r="H475" s="296">
        <f>SUM(H463:H474)</f>
        <v>59340.46</v>
      </c>
      <c r="I475" s="310">
        <f t="shared" si="126"/>
        <v>1.4498640632016719E-3</v>
      </c>
      <c r="J475" s="296"/>
      <c r="K475" s="296"/>
      <c r="L475" s="296"/>
      <c r="M475" s="296"/>
      <c r="N475" s="296"/>
      <c r="O475" s="296"/>
      <c r="P475" s="296"/>
      <c r="Q475" s="296"/>
      <c r="R475" s="307">
        <v>0</v>
      </c>
      <c r="S475" s="296">
        <f>SUM(S463:S474)</f>
        <v>0</v>
      </c>
      <c r="T475" s="329"/>
      <c r="U475" s="337">
        <f t="shared" ref="U475" si="132">SUM(U463:U474)</f>
        <v>59340.46</v>
      </c>
    </row>
    <row r="476" spans="1:21">
      <c r="A476" s="331" t="s">
        <v>3777</v>
      </c>
      <c r="B476" s="351" t="s">
        <v>1194</v>
      </c>
      <c r="C476" s="351" t="s">
        <v>1194</v>
      </c>
      <c r="D476" s="351" t="s">
        <v>1194</v>
      </c>
      <c r="E476" s="351" t="s">
        <v>1194</v>
      </c>
      <c r="F476" s="351" t="s">
        <v>1194</v>
      </c>
      <c r="G476" s="288"/>
      <c r="H476" s="288"/>
      <c r="I476" s="311"/>
      <c r="J476" s="288"/>
      <c r="K476" s="288"/>
      <c r="L476" s="288"/>
      <c r="M476" s="288"/>
      <c r="N476" s="288"/>
      <c r="O476" s="288"/>
      <c r="P476" s="288"/>
      <c r="Q476" s="288"/>
      <c r="R476" s="305"/>
      <c r="S476" s="288"/>
      <c r="T476" s="326"/>
      <c r="U476" s="338"/>
    </row>
    <row r="477" spans="1:21">
      <c r="A477" s="333" t="s">
        <v>3778</v>
      </c>
      <c r="B477" s="87" t="s">
        <v>1810</v>
      </c>
      <c r="C477" s="87" t="s">
        <v>3077</v>
      </c>
      <c r="D477" s="290" t="s">
        <v>3078</v>
      </c>
      <c r="E477" s="87" t="s">
        <v>48</v>
      </c>
      <c r="F477" s="284">
        <v>14</v>
      </c>
      <c r="G477" s="291">
        <v>116.57</v>
      </c>
      <c r="H477" s="291">
        <f t="shared" ref="H477:H527" si="133">ROUND((G477*F477),2)</f>
        <v>1631.98</v>
      </c>
      <c r="I477" s="309">
        <f t="shared" si="126"/>
        <v>3.9874128947835331E-5</v>
      </c>
      <c r="J477" s="291"/>
      <c r="K477" s="291"/>
      <c r="L477" s="291"/>
      <c r="M477" s="291"/>
      <c r="N477" s="291"/>
      <c r="O477" s="291"/>
      <c r="P477" s="291"/>
      <c r="Q477" s="291"/>
      <c r="R477" s="306">
        <v>0</v>
      </c>
      <c r="S477" s="291">
        <f t="shared" ref="S477:S527" si="134">ROUND((R477*P477),2)</f>
        <v>0</v>
      </c>
      <c r="T477" s="327">
        <f t="shared" si="127"/>
        <v>14</v>
      </c>
      <c r="U477" s="334">
        <f t="shared" si="128"/>
        <v>1631.98</v>
      </c>
    </row>
    <row r="478" spans="1:21" ht="105">
      <c r="A478" s="333" t="s">
        <v>3779</v>
      </c>
      <c r="B478" s="87" t="s">
        <v>1810</v>
      </c>
      <c r="C478" s="87" t="s">
        <v>3079</v>
      </c>
      <c r="D478" s="290" t="s">
        <v>3080</v>
      </c>
      <c r="E478" s="87" t="s">
        <v>48</v>
      </c>
      <c r="F478" s="284">
        <v>12</v>
      </c>
      <c r="G478" s="291">
        <v>2755.19</v>
      </c>
      <c r="H478" s="291">
        <f t="shared" si="133"/>
        <v>33062.28</v>
      </c>
      <c r="I478" s="309">
        <f t="shared" si="126"/>
        <v>8.0780990945320224E-4</v>
      </c>
      <c r="J478" s="291"/>
      <c r="K478" s="291"/>
      <c r="L478" s="291"/>
      <c r="M478" s="291"/>
      <c r="N478" s="291"/>
      <c r="O478" s="291"/>
      <c r="P478" s="291"/>
      <c r="Q478" s="291"/>
      <c r="R478" s="306">
        <v>0</v>
      </c>
      <c r="S478" s="291">
        <f t="shared" si="134"/>
        <v>0</v>
      </c>
      <c r="T478" s="327">
        <f t="shared" si="127"/>
        <v>12</v>
      </c>
      <c r="U478" s="334">
        <f t="shared" si="128"/>
        <v>33062.28</v>
      </c>
    </row>
    <row r="479" spans="1:21" ht="30">
      <c r="A479" s="333" t="s">
        <v>3780</v>
      </c>
      <c r="B479" s="87" t="s">
        <v>1810</v>
      </c>
      <c r="C479" s="87">
        <v>67061</v>
      </c>
      <c r="D479" s="290" t="s">
        <v>3081</v>
      </c>
      <c r="E479" s="87" t="s">
        <v>48</v>
      </c>
      <c r="F479" s="284">
        <v>24</v>
      </c>
      <c r="G479" s="291">
        <v>22.47</v>
      </c>
      <c r="H479" s="291">
        <f t="shared" si="133"/>
        <v>539.28</v>
      </c>
      <c r="I479" s="309">
        <f t="shared" si="126"/>
        <v>1.3176215553492467E-5</v>
      </c>
      <c r="J479" s="291"/>
      <c r="K479" s="291"/>
      <c r="L479" s="291"/>
      <c r="M479" s="291"/>
      <c r="N479" s="291"/>
      <c r="O479" s="291"/>
      <c r="P479" s="291"/>
      <c r="Q479" s="291"/>
      <c r="R479" s="306">
        <v>0</v>
      </c>
      <c r="S479" s="291">
        <f t="shared" si="134"/>
        <v>0</v>
      </c>
      <c r="T479" s="327">
        <f t="shared" si="127"/>
        <v>24</v>
      </c>
      <c r="U479" s="334">
        <f t="shared" si="128"/>
        <v>539.28</v>
      </c>
    </row>
    <row r="480" spans="1:21" ht="45">
      <c r="A480" s="333" t="s">
        <v>3781</v>
      </c>
      <c r="B480" s="87" t="s">
        <v>133</v>
      </c>
      <c r="C480" s="315" t="s">
        <v>3082</v>
      </c>
      <c r="D480" s="292" t="s">
        <v>3083</v>
      </c>
      <c r="E480" s="87" t="s">
        <v>48</v>
      </c>
      <c r="F480" s="284">
        <v>12</v>
      </c>
      <c r="G480" s="291">
        <v>80.89</v>
      </c>
      <c r="H480" s="291">
        <f t="shared" si="133"/>
        <v>970.68</v>
      </c>
      <c r="I480" s="309">
        <f t="shared" si="126"/>
        <v>2.3716601604851037E-5</v>
      </c>
      <c r="J480" s="291"/>
      <c r="K480" s="291"/>
      <c r="L480" s="291"/>
      <c r="M480" s="291"/>
      <c r="N480" s="291"/>
      <c r="O480" s="291"/>
      <c r="P480" s="291"/>
      <c r="Q480" s="291"/>
      <c r="R480" s="306">
        <v>0</v>
      </c>
      <c r="S480" s="291">
        <f t="shared" si="134"/>
        <v>0</v>
      </c>
      <c r="T480" s="327">
        <f t="shared" si="127"/>
        <v>12</v>
      </c>
      <c r="U480" s="334">
        <f t="shared" si="128"/>
        <v>970.68000000000006</v>
      </c>
    </row>
    <row r="481" spans="1:21" ht="75">
      <c r="A481" s="333" t="s">
        <v>3782</v>
      </c>
      <c r="B481" s="87" t="s">
        <v>133</v>
      </c>
      <c r="C481" s="87">
        <v>92665</v>
      </c>
      <c r="D481" s="290" t="s">
        <v>3084</v>
      </c>
      <c r="E481" s="87" t="s">
        <v>48</v>
      </c>
      <c r="F481" s="284">
        <v>12</v>
      </c>
      <c r="G481" s="291">
        <v>96.12</v>
      </c>
      <c r="H481" s="291">
        <f t="shared" si="133"/>
        <v>1153.44</v>
      </c>
      <c r="I481" s="309">
        <f t="shared" si="126"/>
        <v>2.8181972385440498E-5</v>
      </c>
      <c r="J481" s="291"/>
      <c r="K481" s="291"/>
      <c r="L481" s="291"/>
      <c r="M481" s="291"/>
      <c r="N481" s="291"/>
      <c r="O481" s="291"/>
      <c r="P481" s="291"/>
      <c r="Q481" s="291"/>
      <c r="R481" s="306">
        <v>0</v>
      </c>
      <c r="S481" s="291">
        <f t="shared" si="134"/>
        <v>0</v>
      </c>
      <c r="T481" s="327">
        <f t="shared" si="127"/>
        <v>12</v>
      </c>
      <c r="U481" s="334">
        <f t="shared" si="128"/>
        <v>1153.44</v>
      </c>
    </row>
    <row r="482" spans="1:21" ht="60">
      <c r="A482" s="333" t="s">
        <v>3783</v>
      </c>
      <c r="B482" s="87" t="s">
        <v>133</v>
      </c>
      <c r="C482" s="87" t="s">
        <v>3085</v>
      </c>
      <c r="D482" s="290" t="s">
        <v>3086</v>
      </c>
      <c r="E482" s="87" t="s">
        <v>48</v>
      </c>
      <c r="F482" s="284">
        <v>37</v>
      </c>
      <c r="G482" s="291">
        <v>262.72000000000003</v>
      </c>
      <c r="H482" s="291">
        <f t="shared" si="133"/>
        <v>9720.64</v>
      </c>
      <c r="I482" s="309">
        <f t="shared" si="126"/>
        <v>2.3750416844292577E-4</v>
      </c>
      <c r="J482" s="291"/>
      <c r="K482" s="291"/>
      <c r="L482" s="291"/>
      <c r="M482" s="291"/>
      <c r="N482" s="291"/>
      <c r="O482" s="291"/>
      <c r="P482" s="291"/>
      <c r="Q482" s="291"/>
      <c r="R482" s="306">
        <v>0</v>
      </c>
      <c r="S482" s="291">
        <f t="shared" si="134"/>
        <v>0</v>
      </c>
      <c r="T482" s="327">
        <f t="shared" si="127"/>
        <v>37</v>
      </c>
      <c r="U482" s="334">
        <f t="shared" si="128"/>
        <v>9720.6400000000012</v>
      </c>
    </row>
    <row r="483" spans="1:21" ht="60">
      <c r="A483" s="333" t="s">
        <v>3784</v>
      </c>
      <c r="B483" s="87" t="s">
        <v>133</v>
      </c>
      <c r="C483" s="87" t="s">
        <v>3087</v>
      </c>
      <c r="D483" s="290" t="s">
        <v>3088</v>
      </c>
      <c r="E483" s="87" t="s">
        <v>48</v>
      </c>
      <c r="F483" s="284">
        <v>24</v>
      </c>
      <c r="G483" s="291">
        <v>498.69</v>
      </c>
      <c r="H483" s="291">
        <f t="shared" si="133"/>
        <v>11968.56</v>
      </c>
      <c r="I483" s="309">
        <f t="shared" si="126"/>
        <v>2.924275449208348E-4</v>
      </c>
      <c r="J483" s="291"/>
      <c r="K483" s="291"/>
      <c r="L483" s="291"/>
      <c r="M483" s="291"/>
      <c r="N483" s="291"/>
      <c r="O483" s="291"/>
      <c r="P483" s="291"/>
      <c r="Q483" s="291"/>
      <c r="R483" s="306">
        <v>0</v>
      </c>
      <c r="S483" s="291">
        <f t="shared" si="134"/>
        <v>0</v>
      </c>
      <c r="T483" s="327">
        <f t="shared" si="127"/>
        <v>24</v>
      </c>
      <c r="U483" s="334">
        <f t="shared" si="128"/>
        <v>11968.56</v>
      </c>
    </row>
    <row r="484" spans="1:21" ht="60">
      <c r="A484" s="333" t="s">
        <v>3785</v>
      </c>
      <c r="B484" s="87" t="s">
        <v>133</v>
      </c>
      <c r="C484" s="87">
        <v>103019</v>
      </c>
      <c r="D484" s="290" t="s">
        <v>3089</v>
      </c>
      <c r="E484" s="87" t="s">
        <v>48</v>
      </c>
      <c r="F484" s="284">
        <v>12</v>
      </c>
      <c r="G484" s="291">
        <v>258.81</v>
      </c>
      <c r="H484" s="291">
        <f t="shared" si="133"/>
        <v>3105.72</v>
      </c>
      <c r="I484" s="309">
        <f t="shared" si="126"/>
        <v>7.5881983698250665E-5</v>
      </c>
      <c r="J484" s="291"/>
      <c r="K484" s="291"/>
      <c r="L484" s="291"/>
      <c r="M484" s="291"/>
      <c r="N484" s="291"/>
      <c r="O484" s="291"/>
      <c r="P484" s="291"/>
      <c r="Q484" s="291"/>
      <c r="R484" s="306"/>
      <c r="S484" s="291">
        <f t="shared" si="134"/>
        <v>0</v>
      </c>
      <c r="T484" s="327">
        <f t="shared" si="127"/>
        <v>12</v>
      </c>
      <c r="U484" s="334">
        <f t="shared" si="128"/>
        <v>3105.7200000000003</v>
      </c>
    </row>
    <row r="485" spans="1:21" ht="30">
      <c r="A485" s="333" t="s">
        <v>3786</v>
      </c>
      <c r="B485" s="87" t="s">
        <v>1810</v>
      </c>
      <c r="C485" s="315" t="s">
        <v>3090</v>
      </c>
      <c r="D485" s="290" t="s">
        <v>3091</v>
      </c>
      <c r="E485" s="87" t="s">
        <v>48</v>
      </c>
      <c r="F485" s="284">
        <v>11</v>
      </c>
      <c r="G485" s="291">
        <v>118.6</v>
      </c>
      <c r="H485" s="291">
        <f t="shared" si="133"/>
        <v>1304.5999999999999</v>
      </c>
      <c r="I485" s="309">
        <f t="shared" si="126"/>
        <v>3.1875261109416765E-5</v>
      </c>
      <c r="J485" s="291"/>
      <c r="K485" s="291"/>
      <c r="L485" s="291"/>
      <c r="M485" s="291"/>
      <c r="N485" s="291"/>
      <c r="O485" s="291"/>
      <c r="P485" s="291"/>
      <c r="Q485" s="291"/>
      <c r="R485" s="306">
        <v>0</v>
      </c>
      <c r="S485" s="291">
        <f t="shared" si="134"/>
        <v>0</v>
      </c>
      <c r="T485" s="327">
        <f t="shared" si="127"/>
        <v>11</v>
      </c>
      <c r="U485" s="334">
        <f t="shared" si="128"/>
        <v>1304.5999999999999</v>
      </c>
    </row>
    <row r="486" spans="1:21" ht="45">
      <c r="A486" s="333" t="s">
        <v>3787</v>
      </c>
      <c r="B486" s="87" t="s">
        <v>133</v>
      </c>
      <c r="C486" s="87" t="s">
        <v>3092</v>
      </c>
      <c r="D486" s="290" t="s">
        <v>3093</v>
      </c>
      <c r="E486" s="87" t="s">
        <v>48</v>
      </c>
      <c r="F486" s="284">
        <v>2</v>
      </c>
      <c r="G486" s="291">
        <v>61.45</v>
      </c>
      <c r="H486" s="291">
        <f t="shared" si="133"/>
        <v>122.9</v>
      </c>
      <c r="I486" s="309">
        <f t="shared" si="126"/>
        <v>3.002812808789913E-6</v>
      </c>
      <c r="J486" s="291"/>
      <c r="K486" s="291"/>
      <c r="L486" s="291"/>
      <c r="M486" s="291"/>
      <c r="N486" s="291"/>
      <c r="O486" s="291"/>
      <c r="P486" s="291"/>
      <c r="Q486" s="291"/>
      <c r="R486" s="306">
        <v>0</v>
      </c>
      <c r="S486" s="291">
        <f t="shared" si="134"/>
        <v>0</v>
      </c>
      <c r="T486" s="327">
        <f t="shared" si="127"/>
        <v>2</v>
      </c>
      <c r="U486" s="334">
        <f t="shared" si="128"/>
        <v>122.9</v>
      </c>
    </row>
    <row r="487" spans="1:21" ht="60">
      <c r="A487" s="333" t="s">
        <v>3788</v>
      </c>
      <c r="B487" s="87" t="s">
        <v>133</v>
      </c>
      <c r="C487" s="87">
        <v>92902</v>
      </c>
      <c r="D487" s="292" t="s">
        <v>1251</v>
      </c>
      <c r="E487" s="87" t="s">
        <v>48</v>
      </c>
      <c r="F487" s="284">
        <v>4</v>
      </c>
      <c r="G487" s="291">
        <v>238.14</v>
      </c>
      <c r="H487" s="291">
        <f t="shared" si="133"/>
        <v>952.56</v>
      </c>
      <c r="I487" s="309">
        <f t="shared" si="126"/>
        <v>2.3273876071122208E-5</v>
      </c>
      <c r="J487" s="291"/>
      <c r="K487" s="291"/>
      <c r="L487" s="291"/>
      <c r="M487" s="291"/>
      <c r="N487" s="291"/>
      <c r="O487" s="291"/>
      <c r="P487" s="291"/>
      <c r="Q487" s="291"/>
      <c r="R487" s="306">
        <v>0</v>
      </c>
      <c r="S487" s="291">
        <f t="shared" si="134"/>
        <v>0</v>
      </c>
      <c r="T487" s="327">
        <f t="shared" si="127"/>
        <v>4</v>
      </c>
      <c r="U487" s="334">
        <f t="shared" si="128"/>
        <v>952.56</v>
      </c>
    </row>
    <row r="488" spans="1:21" ht="45">
      <c r="A488" s="333" t="s">
        <v>3789</v>
      </c>
      <c r="B488" s="87" t="s">
        <v>1810</v>
      </c>
      <c r="C488" s="87">
        <v>160646</v>
      </c>
      <c r="D488" s="292" t="s">
        <v>3094</v>
      </c>
      <c r="E488" s="87" t="s">
        <v>48</v>
      </c>
      <c r="F488" s="284">
        <v>50</v>
      </c>
      <c r="G488" s="291">
        <v>135.94999999999999</v>
      </c>
      <c r="H488" s="291">
        <f t="shared" si="133"/>
        <v>6797.5</v>
      </c>
      <c r="I488" s="309">
        <f t="shared" si="126"/>
        <v>1.6608315758949904E-4</v>
      </c>
      <c r="J488" s="291"/>
      <c r="K488" s="291"/>
      <c r="L488" s="291"/>
      <c r="M488" s="291"/>
      <c r="N488" s="291"/>
      <c r="O488" s="291"/>
      <c r="P488" s="291"/>
      <c r="Q488" s="291"/>
      <c r="R488" s="306">
        <v>0</v>
      </c>
      <c r="S488" s="291">
        <f t="shared" si="134"/>
        <v>0</v>
      </c>
      <c r="T488" s="327">
        <f t="shared" si="127"/>
        <v>50</v>
      </c>
      <c r="U488" s="334">
        <f t="shared" si="128"/>
        <v>6797.4999999999991</v>
      </c>
    </row>
    <row r="489" spans="1:21" ht="45">
      <c r="A489" s="333" t="s">
        <v>3790</v>
      </c>
      <c r="B489" s="87" t="s">
        <v>1810</v>
      </c>
      <c r="C489" s="87">
        <v>160642</v>
      </c>
      <c r="D489" s="292" t="s">
        <v>3095</v>
      </c>
      <c r="E489" s="87" t="s">
        <v>48</v>
      </c>
      <c r="F489" s="284">
        <v>60</v>
      </c>
      <c r="G489" s="291">
        <v>134.4</v>
      </c>
      <c r="H489" s="291">
        <f t="shared" si="133"/>
        <v>8064</v>
      </c>
      <c r="I489" s="309">
        <f t="shared" si="126"/>
        <v>1.9702752229521447E-4</v>
      </c>
      <c r="J489" s="291"/>
      <c r="K489" s="291"/>
      <c r="L489" s="291"/>
      <c r="M489" s="291"/>
      <c r="N489" s="291"/>
      <c r="O489" s="291"/>
      <c r="P489" s="291"/>
      <c r="Q489" s="291"/>
      <c r="R489" s="306">
        <v>0</v>
      </c>
      <c r="S489" s="291">
        <f t="shared" si="134"/>
        <v>0</v>
      </c>
      <c r="T489" s="327">
        <f t="shared" si="127"/>
        <v>60</v>
      </c>
      <c r="U489" s="334">
        <f t="shared" si="128"/>
        <v>8064</v>
      </c>
    </row>
    <row r="490" spans="1:21" ht="60">
      <c r="A490" s="333" t="s">
        <v>3791</v>
      </c>
      <c r="B490" s="87" t="s">
        <v>1810</v>
      </c>
      <c r="C490" s="87">
        <v>160630</v>
      </c>
      <c r="D490" s="292" t="s">
        <v>3096</v>
      </c>
      <c r="E490" s="87" t="s">
        <v>193</v>
      </c>
      <c r="F490" s="284">
        <v>418</v>
      </c>
      <c r="G490" s="291">
        <v>178.13</v>
      </c>
      <c r="H490" s="291">
        <f t="shared" si="133"/>
        <v>74458.34</v>
      </c>
      <c r="I490" s="309">
        <f t="shared" si="126"/>
        <v>1.8192388695950717E-3</v>
      </c>
      <c r="J490" s="291"/>
      <c r="K490" s="291"/>
      <c r="L490" s="291"/>
      <c r="M490" s="291"/>
      <c r="N490" s="291"/>
      <c r="O490" s="291"/>
      <c r="P490" s="291"/>
      <c r="Q490" s="291"/>
      <c r="R490" s="306">
        <v>0</v>
      </c>
      <c r="S490" s="291">
        <f t="shared" si="134"/>
        <v>0</v>
      </c>
      <c r="T490" s="327">
        <f t="shared" si="127"/>
        <v>418</v>
      </c>
      <c r="U490" s="334">
        <f t="shared" si="128"/>
        <v>74458.34</v>
      </c>
    </row>
    <row r="491" spans="1:21">
      <c r="A491" s="333" t="s">
        <v>3792</v>
      </c>
      <c r="B491" s="87" t="s">
        <v>1810</v>
      </c>
      <c r="C491" s="87" t="s">
        <v>3097</v>
      </c>
      <c r="D491" s="290" t="s">
        <v>3098</v>
      </c>
      <c r="E491" s="87" t="s">
        <v>48</v>
      </c>
      <c r="F491" s="284">
        <v>1</v>
      </c>
      <c r="G491" s="291">
        <v>481.08</v>
      </c>
      <c r="H491" s="291">
        <f t="shared" si="133"/>
        <v>481.08</v>
      </c>
      <c r="I491" s="309">
        <f t="shared" si="126"/>
        <v>1.1754216322641589E-5</v>
      </c>
      <c r="J491" s="291"/>
      <c r="K491" s="291"/>
      <c r="L491" s="291"/>
      <c r="M491" s="291"/>
      <c r="N491" s="291"/>
      <c r="O491" s="291"/>
      <c r="P491" s="291"/>
      <c r="Q491" s="291"/>
      <c r="R491" s="306">
        <v>0</v>
      </c>
      <c r="S491" s="291">
        <f t="shared" si="134"/>
        <v>0</v>
      </c>
      <c r="T491" s="327">
        <f t="shared" si="127"/>
        <v>1</v>
      </c>
      <c r="U491" s="334">
        <f t="shared" si="128"/>
        <v>481.08</v>
      </c>
    </row>
    <row r="492" spans="1:21" ht="30">
      <c r="A492" s="333" t="s">
        <v>3793</v>
      </c>
      <c r="B492" s="87" t="s">
        <v>1810</v>
      </c>
      <c r="C492" s="87" t="s">
        <v>3099</v>
      </c>
      <c r="D492" s="290" t="s">
        <v>3100</v>
      </c>
      <c r="E492" s="87" t="s">
        <v>48</v>
      </c>
      <c r="F492" s="284">
        <v>1</v>
      </c>
      <c r="G492" s="291">
        <v>393.93</v>
      </c>
      <c r="H492" s="291">
        <f t="shared" si="133"/>
        <v>393.93</v>
      </c>
      <c r="I492" s="309">
        <f t="shared" si="126"/>
        <v>9.6248824228365373E-6</v>
      </c>
      <c r="J492" s="291"/>
      <c r="K492" s="291"/>
      <c r="L492" s="291"/>
      <c r="M492" s="291"/>
      <c r="N492" s="291"/>
      <c r="O492" s="291"/>
      <c r="P492" s="291"/>
      <c r="Q492" s="291"/>
      <c r="R492" s="306">
        <v>0</v>
      </c>
      <c r="S492" s="291">
        <f t="shared" si="134"/>
        <v>0</v>
      </c>
      <c r="T492" s="327">
        <f t="shared" si="127"/>
        <v>1</v>
      </c>
      <c r="U492" s="334">
        <f t="shared" si="128"/>
        <v>393.93</v>
      </c>
    </row>
    <row r="493" spans="1:21" ht="30">
      <c r="A493" s="333" t="s">
        <v>3794</v>
      </c>
      <c r="B493" s="87" t="s">
        <v>1810</v>
      </c>
      <c r="C493" s="87" t="s">
        <v>3101</v>
      </c>
      <c r="D493" s="290" t="s">
        <v>3091</v>
      </c>
      <c r="E493" s="87" t="s">
        <v>48</v>
      </c>
      <c r="F493" s="284">
        <v>1</v>
      </c>
      <c r="G493" s="291">
        <v>118.6</v>
      </c>
      <c r="H493" s="291">
        <f t="shared" si="133"/>
        <v>118.6</v>
      </c>
      <c r="I493" s="309">
        <f t="shared" si="126"/>
        <v>2.8977510099469783E-6</v>
      </c>
      <c r="J493" s="291"/>
      <c r="K493" s="291"/>
      <c r="L493" s="291"/>
      <c r="M493" s="291"/>
      <c r="N493" s="291"/>
      <c r="O493" s="291"/>
      <c r="P493" s="291"/>
      <c r="Q493" s="291"/>
      <c r="R493" s="306">
        <v>0</v>
      </c>
      <c r="S493" s="291">
        <f t="shared" si="134"/>
        <v>0</v>
      </c>
      <c r="T493" s="327">
        <f t="shared" si="127"/>
        <v>1</v>
      </c>
      <c r="U493" s="334">
        <f t="shared" si="128"/>
        <v>118.6</v>
      </c>
    </row>
    <row r="494" spans="1:21" ht="45">
      <c r="A494" s="333" t="s">
        <v>3795</v>
      </c>
      <c r="B494" s="87" t="s">
        <v>133</v>
      </c>
      <c r="C494" s="315" t="s">
        <v>3102</v>
      </c>
      <c r="D494" s="290" t="s">
        <v>3103</v>
      </c>
      <c r="E494" s="87" t="s">
        <v>48</v>
      </c>
      <c r="F494" s="284">
        <v>1</v>
      </c>
      <c r="G494" s="291">
        <v>98.85</v>
      </c>
      <c r="H494" s="291">
        <f t="shared" si="133"/>
        <v>98.85</v>
      </c>
      <c r="I494" s="309">
        <f t="shared" si="126"/>
        <v>2.4151997245637335E-6</v>
      </c>
      <c r="J494" s="291"/>
      <c r="K494" s="291"/>
      <c r="L494" s="291"/>
      <c r="M494" s="291"/>
      <c r="N494" s="291"/>
      <c r="O494" s="291"/>
      <c r="P494" s="291"/>
      <c r="Q494" s="291"/>
      <c r="R494" s="306">
        <v>0</v>
      </c>
      <c r="S494" s="291">
        <f t="shared" si="134"/>
        <v>0</v>
      </c>
      <c r="T494" s="327">
        <f t="shared" si="127"/>
        <v>1</v>
      </c>
      <c r="U494" s="334">
        <f t="shared" si="128"/>
        <v>98.85</v>
      </c>
    </row>
    <row r="495" spans="1:21">
      <c r="A495" s="333" t="s">
        <v>3796</v>
      </c>
      <c r="B495" s="87" t="s">
        <v>2974</v>
      </c>
      <c r="C495" s="87" t="s">
        <v>3104</v>
      </c>
      <c r="D495" s="290" t="s">
        <v>3105</v>
      </c>
      <c r="E495" s="87" t="s">
        <v>48</v>
      </c>
      <c r="F495" s="284">
        <v>1</v>
      </c>
      <c r="G495" s="291">
        <v>367.38</v>
      </c>
      <c r="H495" s="291">
        <f t="shared" si="133"/>
        <v>367.38</v>
      </c>
      <c r="I495" s="309">
        <f t="shared" si="126"/>
        <v>8.9761868974226042E-6</v>
      </c>
      <c r="J495" s="291"/>
      <c r="K495" s="291"/>
      <c r="L495" s="291"/>
      <c r="M495" s="291"/>
      <c r="N495" s="291"/>
      <c r="O495" s="291"/>
      <c r="P495" s="291"/>
      <c r="Q495" s="291"/>
      <c r="R495" s="306">
        <v>0</v>
      </c>
      <c r="S495" s="291">
        <f t="shared" si="134"/>
        <v>0</v>
      </c>
      <c r="T495" s="327">
        <f t="shared" si="127"/>
        <v>1</v>
      </c>
      <c r="U495" s="334">
        <f t="shared" si="128"/>
        <v>367.38</v>
      </c>
    </row>
    <row r="496" spans="1:21" ht="45">
      <c r="A496" s="333" t="s">
        <v>3797</v>
      </c>
      <c r="B496" s="87" t="s">
        <v>133</v>
      </c>
      <c r="C496" s="87" t="s">
        <v>3106</v>
      </c>
      <c r="D496" s="290" t="s">
        <v>3107</v>
      </c>
      <c r="E496" s="87" t="s">
        <v>48</v>
      </c>
      <c r="F496" s="284">
        <v>2</v>
      </c>
      <c r="G496" s="291">
        <v>394.03</v>
      </c>
      <c r="H496" s="291">
        <f t="shared" si="133"/>
        <v>788.06</v>
      </c>
      <c r="I496" s="309">
        <f t="shared" si="126"/>
        <v>1.9254651440968093E-5</v>
      </c>
      <c r="J496" s="291"/>
      <c r="K496" s="291"/>
      <c r="L496" s="291"/>
      <c r="M496" s="291"/>
      <c r="N496" s="291"/>
      <c r="O496" s="291"/>
      <c r="P496" s="291"/>
      <c r="Q496" s="291"/>
      <c r="R496" s="306">
        <v>0</v>
      </c>
      <c r="S496" s="291">
        <f t="shared" si="134"/>
        <v>0</v>
      </c>
      <c r="T496" s="327">
        <f t="shared" si="127"/>
        <v>2</v>
      </c>
      <c r="U496" s="334">
        <f t="shared" si="128"/>
        <v>788.06</v>
      </c>
    </row>
    <row r="497" spans="1:21" ht="45">
      <c r="A497" s="333" t="s">
        <v>3798</v>
      </c>
      <c r="B497" s="87" t="s">
        <v>133</v>
      </c>
      <c r="C497" s="87" t="s">
        <v>3108</v>
      </c>
      <c r="D497" s="290" t="s">
        <v>1206</v>
      </c>
      <c r="E497" s="87" t="s">
        <v>48</v>
      </c>
      <c r="F497" s="284">
        <v>1</v>
      </c>
      <c r="G497" s="291">
        <v>3071.01</v>
      </c>
      <c r="H497" s="291">
        <f t="shared" si="133"/>
        <v>3071.01</v>
      </c>
      <c r="I497" s="309">
        <f t="shared" si="126"/>
        <v>7.5033915084799925E-5</v>
      </c>
      <c r="J497" s="291"/>
      <c r="K497" s="291"/>
      <c r="L497" s="291"/>
      <c r="M497" s="291"/>
      <c r="N497" s="291"/>
      <c r="O497" s="291"/>
      <c r="P497" s="291"/>
      <c r="Q497" s="291"/>
      <c r="R497" s="306">
        <v>0</v>
      </c>
      <c r="S497" s="291">
        <f t="shared" si="134"/>
        <v>0</v>
      </c>
      <c r="T497" s="327">
        <f t="shared" si="127"/>
        <v>1</v>
      </c>
      <c r="U497" s="334">
        <f t="shared" si="128"/>
        <v>3071.01</v>
      </c>
    </row>
    <row r="498" spans="1:21" ht="45">
      <c r="A498" s="333" t="s">
        <v>3799</v>
      </c>
      <c r="B498" s="87" t="s">
        <v>133</v>
      </c>
      <c r="C498" s="87" t="s">
        <v>3109</v>
      </c>
      <c r="D498" s="290" t="s">
        <v>3110</v>
      </c>
      <c r="E498" s="87" t="s">
        <v>48</v>
      </c>
      <c r="F498" s="284">
        <v>1</v>
      </c>
      <c r="G498" s="291">
        <v>1336.55</v>
      </c>
      <c r="H498" s="291">
        <f t="shared" si="133"/>
        <v>1336.55</v>
      </c>
      <c r="I498" s="309">
        <f t="shared" si="126"/>
        <v>3.2655894707796239E-5</v>
      </c>
      <c r="J498" s="291"/>
      <c r="K498" s="291"/>
      <c r="L498" s="291"/>
      <c r="M498" s="291"/>
      <c r="N498" s="291"/>
      <c r="O498" s="291"/>
      <c r="P498" s="291"/>
      <c r="Q498" s="291"/>
      <c r="R498" s="306">
        <v>0</v>
      </c>
      <c r="S498" s="291">
        <f t="shared" si="134"/>
        <v>0</v>
      </c>
      <c r="T498" s="327">
        <f t="shared" si="127"/>
        <v>1</v>
      </c>
      <c r="U498" s="334">
        <f t="shared" si="128"/>
        <v>1336.55</v>
      </c>
    </row>
    <row r="499" spans="1:21">
      <c r="A499" s="333" t="s">
        <v>3800</v>
      </c>
      <c r="B499" s="87" t="s">
        <v>133</v>
      </c>
      <c r="C499" s="315" t="s">
        <v>3111</v>
      </c>
      <c r="D499" s="290" t="s">
        <v>3112</v>
      </c>
      <c r="E499" s="87" t="s">
        <v>48</v>
      </c>
      <c r="F499" s="284">
        <v>3</v>
      </c>
      <c r="G499" s="291">
        <v>328.14</v>
      </c>
      <c r="H499" s="291">
        <f t="shared" si="133"/>
        <v>984.42</v>
      </c>
      <c r="I499" s="309">
        <f t="shared" si="126"/>
        <v>2.4052310701618926E-5</v>
      </c>
      <c r="J499" s="291"/>
      <c r="K499" s="291"/>
      <c r="L499" s="291"/>
      <c r="M499" s="291"/>
      <c r="N499" s="291"/>
      <c r="O499" s="291"/>
      <c r="P499" s="291"/>
      <c r="Q499" s="291"/>
      <c r="R499" s="306">
        <v>0</v>
      </c>
      <c r="S499" s="291">
        <f t="shared" si="134"/>
        <v>0</v>
      </c>
      <c r="T499" s="327">
        <f t="shared" si="127"/>
        <v>3</v>
      </c>
      <c r="U499" s="334">
        <f t="shared" si="128"/>
        <v>984.42</v>
      </c>
    </row>
    <row r="500" spans="1:21" ht="30">
      <c r="A500" s="333" t="s">
        <v>3801</v>
      </c>
      <c r="B500" s="87" t="s">
        <v>1810</v>
      </c>
      <c r="C500" s="87" t="s">
        <v>3113</v>
      </c>
      <c r="D500" s="290" t="s">
        <v>3114</v>
      </c>
      <c r="E500" s="87" t="s">
        <v>48</v>
      </c>
      <c r="F500" s="284">
        <v>2</v>
      </c>
      <c r="G500" s="291">
        <v>803.63</v>
      </c>
      <c r="H500" s="291">
        <f t="shared" si="133"/>
        <v>1607.26</v>
      </c>
      <c r="I500" s="309">
        <f t="shared" si="126"/>
        <v>3.9270145769370833E-5</v>
      </c>
      <c r="J500" s="291"/>
      <c r="K500" s="291"/>
      <c r="L500" s="291"/>
      <c r="M500" s="291"/>
      <c r="N500" s="291"/>
      <c r="O500" s="291"/>
      <c r="P500" s="291"/>
      <c r="Q500" s="291"/>
      <c r="R500" s="306">
        <v>0</v>
      </c>
      <c r="S500" s="291">
        <f t="shared" si="134"/>
        <v>0</v>
      </c>
      <c r="T500" s="327">
        <f t="shared" si="127"/>
        <v>2</v>
      </c>
      <c r="U500" s="334">
        <f t="shared" si="128"/>
        <v>1607.26</v>
      </c>
    </row>
    <row r="501" spans="1:21" ht="30">
      <c r="A501" s="333" t="s">
        <v>3802</v>
      </c>
      <c r="B501" s="87" t="s">
        <v>1810</v>
      </c>
      <c r="C501" s="87" t="s">
        <v>3115</v>
      </c>
      <c r="D501" s="290" t="s">
        <v>3116</v>
      </c>
      <c r="E501" s="87" t="s">
        <v>48</v>
      </c>
      <c r="F501" s="284">
        <v>1</v>
      </c>
      <c r="G501" s="291">
        <v>580.75</v>
      </c>
      <c r="H501" s="291">
        <f t="shared" si="133"/>
        <v>580.75</v>
      </c>
      <c r="I501" s="309">
        <f t="shared" si="126"/>
        <v>1.4189451087914906E-5</v>
      </c>
      <c r="J501" s="291"/>
      <c r="K501" s="291"/>
      <c r="L501" s="291"/>
      <c r="M501" s="291"/>
      <c r="N501" s="291"/>
      <c r="O501" s="291"/>
      <c r="P501" s="291"/>
      <c r="Q501" s="291"/>
      <c r="R501" s="306">
        <v>0</v>
      </c>
      <c r="S501" s="291">
        <f t="shared" si="134"/>
        <v>0</v>
      </c>
      <c r="T501" s="327">
        <f t="shared" si="127"/>
        <v>1</v>
      </c>
      <c r="U501" s="334">
        <f t="shared" si="128"/>
        <v>580.75</v>
      </c>
    </row>
    <row r="502" spans="1:21" ht="45">
      <c r="A502" s="333" t="s">
        <v>3803</v>
      </c>
      <c r="B502" s="87" t="s">
        <v>1810</v>
      </c>
      <c r="C502" s="87">
        <v>160662</v>
      </c>
      <c r="D502" s="340" t="s">
        <v>3117</v>
      </c>
      <c r="E502" s="87" t="s">
        <v>48</v>
      </c>
      <c r="F502" s="284">
        <v>1</v>
      </c>
      <c r="G502" s="291">
        <v>580.61</v>
      </c>
      <c r="H502" s="291">
        <f t="shared" si="133"/>
        <v>580.61</v>
      </c>
      <c r="I502" s="309">
        <f t="shared" si="126"/>
        <v>1.4186030471208391E-5</v>
      </c>
      <c r="J502" s="291"/>
      <c r="K502" s="291"/>
      <c r="L502" s="291"/>
      <c r="M502" s="291"/>
      <c r="N502" s="291"/>
      <c r="O502" s="291"/>
      <c r="P502" s="291"/>
      <c r="Q502" s="291"/>
      <c r="R502" s="306">
        <v>0</v>
      </c>
      <c r="S502" s="291">
        <f t="shared" si="134"/>
        <v>0</v>
      </c>
      <c r="T502" s="327">
        <f t="shared" si="127"/>
        <v>1</v>
      </c>
      <c r="U502" s="334">
        <f t="shared" si="128"/>
        <v>580.61</v>
      </c>
    </row>
    <row r="503" spans="1:21" ht="30">
      <c r="A503" s="333" t="s">
        <v>3804</v>
      </c>
      <c r="B503" s="87" t="s">
        <v>1810</v>
      </c>
      <c r="C503" s="87" t="s">
        <v>3118</v>
      </c>
      <c r="D503" s="290" t="s">
        <v>3119</v>
      </c>
      <c r="E503" s="87" t="s">
        <v>48</v>
      </c>
      <c r="F503" s="284">
        <v>1</v>
      </c>
      <c r="G503" s="291">
        <v>161.75</v>
      </c>
      <c r="H503" s="291">
        <f t="shared" si="133"/>
        <v>161.75</v>
      </c>
      <c r="I503" s="309">
        <f t="shared" si="126"/>
        <v>3.9520339448475868E-6</v>
      </c>
      <c r="J503" s="291"/>
      <c r="K503" s="291"/>
      <c r="L503" s="291"/>
      <c r="M503" s="291"/>
      <c r="N503" s="291"/>
      <c r="O503" s="291"/>
      <c r="P503" s="291"/>
      <c r="Q503" s="291"/>
      <c r="R503" s="306">
        <v>0</v>
      </c>
      <c r="S503" s="291">
        <f t="shared" si="134"/>
        <v>0</v>
      </c>
      <c r="T503" s="327">
        <f t="shared" si="127"/>
        <v>1</v>
      </c>
      <c r="U503" s="334">
        <f t="shared" si="128"/>
        <v>161.75</v>
      </c>
    </row>
    <row r="504" spans="1:21" ht="45">
      <c r="A504" s="333" t="s">
        <v>3805</v>
      </c>
      <c r="B504" s="87" t="s">
        <v>2974</v>
      </c>
      <c r="C504" s="87" t="s">
        <v>3120</v>
      </c>
      <c r="D504" s="290" t="s">
        <v>3121</v>
      </c>
      <c r="E504" s="87" t="s">
        <v>48</v>
      </c>
      <c r="F504" s="284">
        <v>4</v>
      </c>
      <c r="G504" s="291">
        <v>227.17</v>
      </c>
      <c r="H504" s="291">
        <f t="shared" si="133"/>
        <v>908.68</v>
      </c>
      <c r="I504" s="309">
        <f t="shared" si="126"/>
        <v>2.2201757063394775E-5</v>
      </c>
      <c r="J504" s="291"/>
      <c r="K504" s="291"/>
      <c r="L504" s="291"/>
      <c r="M504" s="291"/>
      <c r="N504" s="291"/>
      <c r="O504" s="291"/>
      <c r="P504" s="291"/>
      <c r="Q504" s="291"/>
      <c r="R504" s="306">
        <v>0</v>
      </c>
      <c r="S504" s="291">
        <f t="shared" si="134"/>
        <v>0</v>
      </c>
      <c r="T504" s="327">
        <f t="shared" si="127"/>
        <v>4</v>
      </c>
      <c r="U504" s="334">
        <f t="shared" si="128"/>
        <v>908.68</v>
      </c>
    </row>
    <row r="505" spans="1:21" ht="45">
      <c r="A505" s="333" t="s">
        <v>3806</v>
      </c>
      <c r="B505" s="87" t="s">
        <v>1810</v>
      </c>
      <c r="C505" s="87" t="s">
        <v>3097</v>
      </c>
      <c r="D505" s="290" t="s">
        <v>3122</v>
      </c>
      <c r="E505" s="87" t="s">
        <v>48</v>
      </c>
      <c r="F505" s="284">
        <v>4</v>
      </c>
      <c r="G505" s="291">
        <v>481.08</v>
      </c>
      <c r="H505" s="291">
        <f t="shared" si="133"/>
        <v>1924.32</v>
      </c>
      <c r="I505" s="309">
        <f t="shared" si="126"/>
        <v>4.7016865290566356E-5</v>
      </c>
      <c r="J505" s="291"/>
      <c r="K505" s="291"/>
      <c r="L505" s="291"/>
      <c r="M505" s="291"/>
      <c r="N505" s="291"/>
      <c r="O505" s="291"/>
      <c r="P505" s="291"/>
      <c r="Q505" s="291"/>
      <c r="R505" s="306">
        <v>0</v>
      </c>
      <c r="S505" s="291">
        <f t="shared" si="134"/>
        <v>0</v>
      </c>
      <c r="T505" s="327">
        <f t="shared" si="127"/>
        <v>4</v>
      </c>
      <c r="U505" s="334">
        <f t="shared" si="128"/>
        <v>1924.32</v>
      </c>
    </row>
    <row r="506" spans="1:21" ht="30">
      <c r="A506" s="333" t="s">
        <v>3807</v>
      </c>
      <c r="B506" s="87" t="s">
        <v>3123</v>
      </c>
      <c r="C506" s="87" t="s">
        <v>3124</v>
      </c>
      <c r="D506" s="290" t="s">
        <v>3125</v>
      </c>
      <c r="E506" s="87" t="s">
        <v>48</v>
      </c>
      <c r="F506" s="284">
        <v>1</v>
      </c>
      <c r="G506" s="291">
        <v>77.03</v>
      </c>
      <c r="H506" s="291">
        <f t="shared" si="133"/>
        <v>77.03</v>
      </c>
      <c r="I506" s="309">
        <f t="shared" si="126"/>
        <v>1.8820721778770299E-6</v>
      </c>
      <c r="J506" s="291"/>
      <c r="K506" s="291"/>
      <c r="L506" s="291"/>
      <c r="M506" s="291"/>
      <c r="N506" s="291"/>
      <c r="O506" s="291"/>
      <c r="P506" s="291"/>
      <c r="Q506" s="291"/>
      <c r="R506" s="306">
        <v>0</v>
      </c>
      <c r="S506" s="291">
        <f t="shared" si="134"/>
        <v>0</v>
      </c>
      <c r="T506" s="327">
        <f t="shared" si="127"/>
        <v>1</v>
      </c>
      <c r="U506" s="334">
        <f t="shared" si="128"/>
        <v>77.03</v>
      </c>
    </row>
    <row r="507" spans="1:21" ht="60">
      <c r="A507" s="333" t="s">
        <v>3799</v>
      </c>
      <c r="B507" s="87" t="s">
        <v>133</v>
      </c>
      <c r="C507" s="87" t="s">
        <v>3126</v>
      </c>
      <c r="D507" s="290" t="s">
        <v>3127</v>
      </c>
      <c r="E507" s="87" t="s">
        <v>48</v>
      </c>
      <c r="F507" s="284">
        <v>1</v>
      </c>
      <c r="G507" s="291">
        <v>117.25</v>
      </c>
      <c r="H507" s="291">
        <f t="shared" si="133"/>
        <v>117.25</v>
      </c>
      <c r="I507" s="309">
        <f t="shared" si="126"/>
        <v>2.8647664917055922E-6</v>
      </c>
      <c r="J507" s="291"/>
      <c r="K507" s="291"/>
      <c r="L507" s="291"/>
      <c r="M507" s="291"/>
      <c r="N507" s="291"/>
      <c r="O507" s="291"/>
      <c r="P507" s="291"/>
      <c r="Q507" s="291"/>
      <c r="R507" s="306">
        <v>0</v>
      </c>
      <c r="S507" s="291">
        <f t="shared" si="134"/>
        <v>0</v>
      </c>
      <c r="T507" s="327">
        <f t="shared" si="127"/>
        <v>1</v>
      </c>
      <c r="U507" s="334">
        <f t="shared" si="128"/>
        <v>117.25</v>
      </c>
    </row>
    <row r="508" spans="1:21" ht="90">
      <c r="A508" s="333" t="s">
        <v>3808</v>
      </c>
      <c r="B508" s="87" t="s">
        <v>1810</v>
      </c>
      <c r="C508" s="87" t="s">
        <v>3128</v>
      </c>
      <c r="D508" s="290" t="s">
        <v>3129</v>
      </c>
      <c r="E508" s="87" t="s">
        <v>48</v>
      </c>
      <c r="F508" s="284">
        <v>1</v>
      </c>
      <c r="G508" s="291">
        <v>1094.1199999999999</v>
      </c>
      <c r="H508" s="291">
        <f t="shared" si="133"/>
        <v>1094.1199999999999</v>
      </c>
      <c r="I508" s="309">
        <f t="shared" si="126"/>
        <v>2.6732608220937503E-5</v>
      </c>
      <c r="J508" s="291"/>
      <c r="K508" s="291"/>
      <c r="L508" s="291"/>
      <c r="M508" s="291"/>
      <c r="N508" s="291"/>
      <c r="O508" s="291"/>
      <c r="P508" s="291"/>
      <c r="Q508" s="291"/>
      <c r="R508" s="306">
        <v>0</v>
      </c>
      <c r="S508" s="291">
        <f t="shared" si="134"/>
        <v>0</v>
      </c>
      <c r="T508" s="327">
        <f t="shared" si="127"/>
        <v>1</v>
      </c>
      <c r="U508" s="334">
        <f t="shared" si="128"/>
        <v>1094.1199999999999</v>
      </c>
    </row>
    <row r="509" spans="1:21" ht="30">
      <c r="A509" s="333" t="s">
        <v>3809</v>
      </c>
      <c r="B509" s="87" t="s">
        <v>1810</v>
      </c>
      <c r="C509" s="87" t="s">
        <v>3130</v>
      </c>
      <c r="D509" s="290" t="s">
        <v>3131</v>
      </c>
      <c r="E509" s="87" t="s">
        <v>48</v>
      </c>
      <c r="F509" s="284">
        <v>13</v>
      </c>
      <c r="G509" s="291">
        <v>171.69</v>
      </c>
      <c r="H509" s="291">
        <f t="shared" si="133"/>
        <v>2231.9699999999998</v>
      </c>
      <c r="I509" s="309">
        <f t="shared" si="126"/>
        <v>5.4533670503131174E-5</v>
      </c>
      <c r="J509" s="291"/>
      <c r="K509" s="291"/>
      <c r="L509" s="291"/>
      <c r="M509" s="291"/>
      <c r="N509" s="291"/>
      <c r="O509" s="291"/>
      <c r="P509" s="291"/>
      <c r="Q509" s="291"/>
      <c r="R509" s="306">
        <v>0</v>
      </c>
      <c r="S509" s="291">
        <f t="shared" si="134"/>
        <v>0</v>
      </c>
      <c r="T509" s="327">
        <f t="shared" si="127"/>
        <v>13</v>
      </c>
      <c r="U509" s="334">
        <f t="shared" si="128"/>
        <v>2231.9699999999998</v>
      </c>
    </row>
    <row r="510" spans="1:21" ht="45">
      <c r="A510" s="333" t="s">
        <v>3810</v>
      </c>
      <c r="B510" s="87" t="s">
        <v>1810</v>
      </c>
      <c r="C510" s="87" t="s">
        <v>3130</v>
      </c>
      <c r="D510" s="290" t="s">
        <v>3132</v>
      </c>
      <c r="E510" s="87" t="s">
        <v>48</v>
      </c>
      <c r="F510" s="284">
        <v>13</v>
      </c>
      <c r="G510" s="291">
        <v>171.69</v>
      </c>
      <c r="H510" s="291">
        <f t="shared" si="133"/>
        <v>2231.9699999999998</v>
      </c>
      <c r="I510" s="309">
        <f t="shared" si="126"/>
        <v>5.4533670503131174E-5</v>
      </c>
      <c r="J510" s="291"/>
      <c r="K510" s="291"/>
      <c r="L510" s="291"/>
      <c r="M510" s="291"/>
      <c r="N510" s="291"/>
      <c r="O510" s="291"/>
      <c r="P510" s="291"/>
      <c r="Q510" s="291"/>
      <c r="R510" s="306">
        <v>0</v>
      </c>
      <c r="S510" s="291">
        <f t="shared" si="134"/>
        <v>0</v>
      </c>
      <c r="T510" s="327">
        <f t="shared" si="127"/>
        <v>13</v>
      </c>
      <c r="U510" s="334">
        <f t="shared" si="128"/>
        <v>2231.9699999999998</v>
      </c>
    </row>
    <row r="511" spans="1:21" ht="30">
      <c r="A511" s="333" t="s">
        <v>3811</v>
      </c>
      <c r="B511" s="87" t="s">
        <v>1810</v>
      </c>
      <c r="C511" s="87" t="s">
        <v>3133</v>
      </c>
      <c r="D511" s="290" t="s">
        <v>3134</v>
      </c>
      <c r="E511" s="87" t="s">
        <v>48</v>
      </c>
      <c r="F511" s="284">
        <v>11</v>
      </c>
      <c r="G511" s="291">
        <v>101.18</v>
      </c>
      <c r="H511" s="291">
        <f t="shared" si="133"/>
        <v>1112.98</v>
      </c>
      <c r="I511" s="309">
        <f t="shared" si="126"/>
        <v>2.7193414157257912E-5</v>
      </c>
      <c r="J511" s="291"/>
      <c r="K511" s="291"/>
      <c r="L511" s="291"/>
      <c r="M511" s="291"/>
      <c r="N511" s="291"/>
      <c r="O511" s="291"/>
      <c r="P511" s="291"/>
      <c r="Q511" s="291"/>
      <c r="R511" s="306">
        <v>0</v>
      </c>
      <c r="S511" s="291">
        <f t="shared" si="134"/>
        <v>0</v>
      </c>
      <c r="T511" s="327">
        <f t="shared" si="127"/>
        <v>11</v>
      </c>
      <c r="U511" s="334">
        <f t="shared" si="128"/>
        <v>1112.98</v>
      </c>
    </row>
    <row r="512" spans="1:21">
      <c r="A512" s="333" t="s">
        <v>3812</v>
      </c>
      <c r="B512" s="87" t="s">
        <v>1810</v>
      </c>
      <c r="C512" s="87" t="s">
        <v>3135</v>
      </c>
      <c r="D512" s="290" t="s">
        <v>3136</v>
      </c>
      <c r="E512" s="87" t="s">
        <v>48</v>
      </c>
      <c r="F512" s="284">
        <v>11</v>
      </c>
      <c r="G512" s="291">
        <v>369.03</v>
      </c>
      <c r="H512" s="291">
        <f t="shared" si="133"/>
        <v>4059.33</v>
      </c>
      <c r="I512" s="309">
        <f t="shared" si="126"/>
        <v>9.918151439467174E-5</v>
      </c>
      <c r="J512" s="291"/>
      <c r="K512" s="291"/>
      <c r="L512" s="291"/>
      <c r="M512" s="291"/>
      <c r="N512" s="291"/>
      <c r="O512" s="291"/>
      <c r="P512" s="291"/>
      <c r="Q512" s="291"/>
      <c r="R512" s="306">
        <v>0</v>
      </c>
      <c r="S512" s="291">
        <f t="shared" si="134"/>
        <v>0</v>
      </c>
      <c r="T512" s="327">
        <f t="shared" si="127"/>
        <v>11</v>
      </c>
      <c r="U512" s="334">
        <f t="shared" si="128"/>
        <v>4059.33</v>
      </c>
    </row>
    <row r="513" spans="1:21" ht="75">
      <c r="A513" s="333" t="s">
        <v>3813</v>
      </c>
      <c r="B513" s="87" t="s">
        <v>1810</v>
      </c>
      <c r="C513" s="87" t="s">
        <v>3137</v>
      </c>
      <c r="D513" s="290" t="s">
        <v>3138</v>
      </c>
      <c r="E513" s="87" t="s">
        <v>48</v>
      </c>
      <c r="F513" s="284">
        <v>32</v>
      </c>
      <c r="G513" s="291">
        <v>339.96</v>
      </c>
      <c r="H513" s="291">
        <f t="shared" si="133"/>
        <v>10878.72</v>
      </c>
      <c r="I513" s="309">
        <f t="shared" si="126"/>
        <v>2.6579950983921072E-4</v>
      </c>
      <c r="J513" s="291"/>
      <c r="K513" s="291"/>
      <c r="L513" s="291"/>
      <c r="M513" s="291"/>
      <c r="N513" s="291"/>
      <c r="O513" s="291"/>
      <c r="P513" s="291"/>
      <c r="Q513" s="291"/>
      <c r="R513" s="306">
        <v>0</v>
      </c>
      <c r="S513" s="291">
        <f t="shared" si="134"/>
        <v>0</v>
      </c>
      <c r="T513" s="327">
        <f t="shared" si="127"/>
        <v>32</v>
      </c>
      <c r="U513" s="334">
        <f t="shared" si="128"/>
        <v>10878.72</v>
      </c>
    </row>
    <row r="514" spans="1:21" ht="60">
      <c r="A514" s="333" t="s">
        <v>3814</v>
      </c>
      <c r="B514" s="87" t="s">
        <v>1810</v>
      </c>
      <c r="C514" s="87">
        <v>160608</v>
      </c>
      <c r="D514" s="290" t="s">
        <v>3139</v>
      </c>
      <c r="E514" s="87" t="s">
        <v>48</v>
      </c>
      <c r="F514" s="284">
        <v>176</v>
      </c>
      <c r="G514" s="291">
        <v>404.71</v>
      </c>
      <c r="H514" s="291">
        <f t="shared" si="133"/>
        <v>71228.960000000006</v>
      </c>
      <c r="I514" s="309">
        <f t="shared" si="126"/>
        <v>1.7403355040259102E-3</v>
      </c>
      <c r="J514" s="291"/>
      <c r="K514" s="291"/>
      <c r="L514" s="291"/>
      <c r="M514" s="291"/>
      <c r="N514" s="291"/>
      <c r="O514" s="291"/>
      <c r="P514" s="291"/>
      <c r="Q514" s="291"/>
      <c r="R514" s="306">
        <v>0</v>
      </c>
      <c r="S514" s="291">
        <f t="shared" si="134"/>
        <v>0</v>
      </c>
      <c r="T514" s="327">
        <f t="shared" si="127"/>
        <v>176</v>
      </c>
      <c r="U514" s="334">
        <f t="shared" si="128"/>
        <v>71228.959999999992</v>
      </c>
    </row>
    <row r="515" spans="1:21" ht="60">
      <c r="A515" s="333" t="s">
        <v>3815</v>
      </c>
      <c r="B515" s="87" t="s">
        <v>1810</v>
      </c>
      <c r="C515" s="87" t="s">
        <v>3140</v>
      </c>
      <c r="D515" s="290" t="s">
        <v>3141</v>
      </c>
      <c r="E515" s="87" t="s">
        <v>48</v>
      </c>
      <c r="F515" s="284">
        <v>1</v>
      </c>
      <c r="G515" s="291">
        <v>3242.52</v>
      </c>
      <c r="H515" s="291">
        <f t="shared" si="133"/>
        <v>3242.52</v>
      </c>
      <c r="I515" s="309">
        <f t="shared" si="126"/>
        <v>7.9224414880044489E-5</v>
      </c>
      <c r="J515" s="291"/>
      <c r="K515" s="291"/>
      <c r="L515" s="291"/>
      <c r="M515" s="291"/>
      <c r="N515" s="291"/>
      <c r="O515" s="291"/>
      <c r="P515" s="291"/>
      <c r="Q515" s="291"/>
      <c r="R515" s="306">
        <v>0</v>
      </c>
      <c r="S515" s="291">
        <f t="shared" si="134"/>
        <v>0</v>
      </c>
      <c r="T515" s="327">
        <f t="shared" si="127"/>
        <v>1</v>
      </c>
      <c r="U515" s="334">
        <f t="shared" si="128"/>
        <v>3242.52</v>
      </c>
    </row>
    <row r="516" spans="1:21" ht="45">
      <c r="A516" s="335" t="s">
        <v>3816</v>
      </c>
      <c r="B516" s="302" t="s">
        <v>1810</v>
      </c>
      <c r="C516" s="87" t="s">
        <v>3142</v>
      </c>
      <c r="D516" s="290" t="s">
        <v>3143</v>
      </c>
      <c r="E516" s="87" t="s">
        <v>48</v>
      </c>
      <c r="F516" s="284">
        <v>19</v>
      </c>
      <c r="G516" s="291">
        <v>34.590000000000003</v>
      </c>
      <c r="H516" s="291">
        <f t="shared" si="133"/>
        <v>657.21</v>
      </c>
      <c r="I516" s="309">
        <f t="shared" si="126"/>
        <v>1.6057596469201127E-5</v>
      </c>
      <c r="J516" s="291"/>
      <c r="K516" s="291"/>
      <c r="L516" s="291"/>
      <c r="M516" s="291"/>
      <c r="N516" s="291"/>
      <c r="O516" s="291"/>
      <c r="P516" s="291"/>
      <c r="Q516" s="291"/>
      <c r="R516" s="306">
        <v>0</v>
      </c>
      <c r="S516" s="291">
        <f t="shared" si="134"/>
        <v>0</v>
      </c>
      <c r="T516" s="327">
        <f t="shared" si="127"/>
        <v>19</v>
      </c>
      <c r="U516" s="334">
        <f t="shared" si="128"/>
        <v>657.21</v>
      </c>
    </row>
    <row r="517" spans="1:21" ht="45">
      <c r="A517" s="335" t="s">
        <v>3817</v>
      </c>
      <c r="B517" s="302" t="s">
        <v>1810</v>
      </c>
      <c r="C517" s="87" t="s">
        <v>3142</v>
      </c>
      <c r="D517" s="290" t="s">
        <v>3143</v>
      </c>
      <c r="E517" s="87" t="s">
        <v>48</v>
      </c>
      <c r="F517" s="284">
        <v>17</v>
      </c>
      <c r="G517" s="291">
        <v>34.590000000000003</v>
      </c>
      <c r="H517" s="291">
        <f t="shared" si="133"/>
        <v>588.03</v>
      </c>
      <c r="I517" s="309">
        <f t="shared" si="126"/>
        <v>1.4367323156653639E-5</v>
      </c>
      <c r="J517" s="291"/>
      <c r="K517" s="291"/>
      <c r="L517" s="291"/>
      <c r="M517" s="291"/>
      <c r="N517" s="291"/>
      <c r="O517" s="291"/>
      <c r="P517" s="291"/>
      <c r="Q517" s="291"/>
      <c r="R517" s="306">
        <v>0</v>
      </c>
      <c r="S517" s="291">
        <f t="shared" si="134"/>
        <v>0</v>
      </c>
      <c r="T517" s="327">
        <f t="shared" si="127"/>
        <v>17</v>
      </c>
      <c r="U517" s="334">
        <f t="shared" si="128"/>
        <v>588.03000000000009</v>
      </c>
    </row>
    <row r="518" spans="1:21" ht="45">
      <c r="A518" s="335" t="s">
        <v>3818</v>
      </c>
      <c r="B518" s="302" t="s">
        <v>1810</v>
      </c>
      <c r="C518" s="87" t="s">
        <v>3142</v>
      </c>
      <c r="D518" s="290" t="s">
        <v>3143</v>
      </c>
      <c r="E518" s="87" t="s">
        <v>48</v>
      </c>
      <c r="F518" s="284">
        <v>48</v>
      </c>
      <c r="G518" s="291">
        <v>34.590000000000003</v>
      </c>
      <c r="H518" s="291">
        <f t="shared" si="133"/>
        <v>1660.32</v>
      </c>
      <c r="I518" s="309">
        <f t="shared" si="126"/>
        <v>4.0566559501139691E-5</v>
      </c>
      <c r="J518" s="291"/>
      <c r="K518" s="291"/>
      <c r="L518" s="291"/>
      <c r="M518" s="291"/>
      <c r="N518" s="291"/>
      <c r="O518" s="291"/>
      <c r="P518" s="291"/>
      <c r="Q518" s="291"/>
      <c r="R518" s="306">
        <v>0</v>
      </c>
      <c r="S518" s="291">
        <f t="shared" si="134"/>
        <v>0</v>
      </c>
      <c r="T518" s="327">
        <f t="shared" si="127"/>
        <v>48</v>
      </c>
      <c r="U518" s="334">
        <f t="shared" si="128"/>
        <v>1660.3200000000002</v>
      </c>
    </row>
    <row r="519" spans="1:21" ht="45">
      <c r="A519" s="335" t="s">
        <v>3819</v>
      </c>
      <c r="B519" s="302" t="s">
        <v>1810</v>
      </c>
      <c r="C519" s="87" t="s">
        <v>3142</v>
      </c>
      <c r="D519" s="290" t="s">
        <v>3143</v>
      </c>
      <c r="E519" s="87" t="s">
        <v>48</v>
      </c>
      <c r="F519" s="284">
        <v>26</v>
      </c>
      <c r="G519" s="291">
        <v>34.590000000000003</v>
      </c>
      <c r="H519" s="291">
        <f t="shared" si="133"/>
        <v>899.34</v>
      </c>
      <c r="I519" s="309">
        <f t="shared" si="126"/>
        <v>2.1973553063117335E-5</v>
      </c>
      <c r="J519" s="291"/>
      <c r="K519" s="291"/>
      <c r="L519" s="291"/>
      <c r="M519" s="291"/>
      <c r="N519" s="291"/>
      <c r="O519" s="291"/>
      <c r="P519" s="291"/>
      <c r="Q519" s="291"/>
      <c r="R519" s="306">
        <v>0</v>
      </c>
      <c r="S519" s="291">
        <f t="shared" si="134"/>
        <v>0</v>
      </c>
      <c r="T519" s="327">
        <f t="shared" si="127"/>
        <v>26</v>
      </c>
      <c r="U519" s="334">
        <f t="shared" si="128"/>
        <v>899.34000000000015</v>
      </c>
    </row>
    <row r="520" spans="1:21" ht="45">
      <c r="A520" s="335" t="s">
        <v>3820</v>
      </c>
      <c r="B520" s="302" t="s">
        <v>1810</v>
      </c>
      <c r="C520" s="87" t="s">
        <v>3142</v>
      </c>
      <c r="D520" s="290" t="s">
        <v>3144</v>
      </c>
      <c r="E520" s="87" t="s">
        <v>48</v>
      </c>
      <c r="F520" s="284">
        <v>12</v>
      </c>
      <c r="G520" s="291">
        <v>34.590000000000003</v>
      </c>
      <c r="H520" s="291">
        <f t="shared" si="133"/>
        <v>415.08</v>
      </c>
      <c r="I520" s="309">
        <f t="shared" si="126"/>
        <v>1.0141639875284923E-5</v>
      </c>
      <c r="J520" s="291"/>
      <c r="K520" s="291"/>
      <c r="L520" s="291"/>
      <c r="M520" s="291"/>
      <c r="N520" s="291"/>
      <c r="O520" s="291"/>
      <c r="P520" s="291"/>
      <c r="Q520" s="291"/>
      <c r="R520" s="306">
        <v>0</v>
      </c>
      <c r="S520" s="291">
        <f t="shared" si="134"/>
        <v>0</v>
      </c>
      <c r="T520" s="327">
        <f t="shared" si="127"/>
        <v>12</v>
      </c>
      <c r="U520" s="334">
        <f t="shared" si="128"/>
        <v>415.08000000000004</v>
      </c>
    </row>
    <row r="521" spans="1:21" ht="45">
      <c r="A521" s="335" t="s">
        <v>3821</v>
      </c>
      <c r="B521" s="302" t="s">
        <v>1810</v>
      </c>
      <c r="C521" s="87" t="s">
        <v>3142</v>
      </c>
      <c r="D521" s="290" t="s">
        <v>3145</v>
      </c>
      <c r="E521" s="87" t="s">
        <v>48</v>
      </c>
      <c r="F521" s="284">
        <v>36</v>
      </c>
      <c r="G521" s="291">
        <v>34.590000000000003</v>
      </c>
      <c r="H521" s="291">
        <f t="shared" si="133"/>
        <v>1245.24</v>
      </c>
      <c r="I521" s="309">
        <f t="shared" si="126"/>
        <v>3.0424919625854768E-5</v>
      </c>
      <c r="J521" s="291"/>
      <c r="K521" s="291"/>
      <c r="L521" s="291"/>
      <c r="M521" s="291"/>
      <c r="N521" s="291"/>
      <c r="O521" s="291"/>
      <c r="P521" s="291"/>
      <c r="Q521" s="291"/>
      <c r="R521" s="306">
        <v>0</v>
      </c>
      <c r="S521" s="291">
        <f t="shared" si="134"/>
        <v>0</v>
      </c>
      <c r="T521" s="327">
        <f t="shared" si="127"/>
        <v>36</v>
      </c>
      <c r="U521" s="334">
        <f t="shared" si="128"/>
        <v>1245.2400000000002</v>
      </c>
    </row>
    <row r="522" spans="1:21" ht="45">
      <c r="A522" s="335" t="s">
        <v>3822</v>
      </c>
      <c r="B522" s="302" t="s">
        <v>1810</v>
      </c>
      <c r="C522" s="87" t="s">
        <v>3142</v>
      </c>
      <c r="D522" s="290" t="s">
        <v>3146</v>
      </c>
      <c r="E522" s="87" t="s">
        <v>48</v>
      </c>
      <c r="F522" s="284">
        <v>12</v>
      </c>
      <c r="G522" s="291">
        <v>34.590000000000003</v>
      </c>
      <c r="H522" s="291">
        <f t="shared" si="133"/>
        <v>415.08</v>
      </c>
      <c r="I522" s="309">
        <f t="shared" si="126"/>
        <v>1.0141639875284923E-5</v>
      </c>
      <c r="J522" s="291"/>
      <c r="K522" s="291"/>
      <c r="L522" s="291"/>
      <c r="M522" s="291"/>
      <c r="N522" s="291"/>
      <c r="O522" s="291"/>
      <c r="P522" s="291"/>
      <c r="Q522" s="291"/>
      <c r="R522" s="306">
        <v>0</v>
      </c>
      <c r="S522" s="291">
        <f t="shared" si="134"/>
        <v>0</v>
      </c>
      <c r="T522" s="327">
        <f t="shared" si="127"/>
        <v>12</v>
      </c>
      <c r="U522" s="334">
        <f t="shared" si="128"/>
        <v>415.08000000000004</v>
      </c>
    </row>
    <row r="523" spans="1:21" ht="45">
      <c r="A523" s="335" t="s">
        <v>3823</v>
      </c>
      <c r="B523" s="302" t="s">
        <v>1810</v>
      </c>
      <c r="C523" s="87" t="s">
        <v>3142</v>
      </c>
      <c r="D523" s="290" t="s">
        <v>3147</v>
      </c>
      <c r="E523" s="87" t="s">
        <v>48</v>
      </c>
      <c r="F523" s="284">
        <v>12</v>
      </c>
      <c r="G523" s="291">
        <v>34.590000000000003</v>
      </c>
      <c r="H523" s="291">
        <f t="shared" si="133"/>
        <v>415.08</v>
      </c>
      <c r="I523" s="309">
        <f t="shared" si="126"/>
        <v>1.0141639875284923E-5</v>
      </c>
      <c r="J523" s="291"/>
      <c r="K523" s="291"/>
      <c r="L523" s="291"/>
      <c r="M523" s="291"/>
      <c r="N523" s="291"/>
      <c r="O523" s="291"/>
      <c r="P523" s="291"/>
      <c r="Q523" s="291"/>
      <c r="R523" s="306">
        <v>0</v>
      </c>
      <c r="S523" s="291">
        <f t="shared" si="134"/>
        <v>0</v>
      </c>
      <c r="T523" s="327">
        <f t="shared" si="127"/>
        <v>12</v>
      </c>
      <c r="U523" s="334">
        <f t="shared" si="128"/>
        <v>415.08000000000004</v>
      </c>
    </row>
    <row r="524" spans="1:21" ht="45">
      <c r="A524" s="335" t="s">
        <v>3824</v>
      </c>
      <c r="B524" s="302" t="s">
        <v>1810</v>
      </c>
      <c r="C524" s="87" t="s">
        <v>3142</v>
      </c>
      <c r="D524" s="290" t="s">
        <v>3148</v>
      </c>
      <c r="E524" s="87" t="s">
        <v>48</v>
      </c>
      <c r="F524" s="284">
        <v>2</v>
      </c>
      <c r="G524" s="291">
        <v>34.590000000000003</v>
      </c>
      <c r="H524" s="291">
        <f t="shared" si="133"/>
        <v>69.180000000000007</v>
      </c>
      <c r="I524" s="309">
        <f t="shared" ref="I524:I587" si="135">H524/$H$741</f>
        <v>1.6902733125474873E-6</v>
      </c>
      <c r="J524" s="291"/>
      <c r="K524" s="291"/>
      <c r="L524" s="291"/>
      <c r="M524" s="291"/>
      <c r="N524" s="291"/>
      <c r="O524" s="291"/>
      <c r="P524" s="291"/>
      <c r="Q524" s="291"/>
      <c r="R524" s="306">
        <v>0</v>
      </c>
      <c r="S524" s="291">
        <f t="shared" si="134"/>
        <v>0</v>
      </c>
      <c r="T524" s="327">
        <f t="shared" ref="T524:T587" si="136">F524-R524</f>
        <v>2</v>
      </c>
      <c r="U524" s="334">
        <f t="shared" ref="U524:U587" si="137">T524*G524</f>
        <v>69.180000000000007</v>
      </c>
    </row>
    <row r="525" spans="1:21" ht="45">
      <c r="A525" s="333" t="s">
        <v>3825</v>
      </c>
      <c r="B525" s="87" t="s">
        <v>1810</v>
      </c>
      <c r="C525" s="87" t="s">
        <v>3142</v>
      </c>
      <c r="D525" s="290" t="s">
        <v>3149</v>
      </c>
      <c r="E525" s="87" t="s">
        <v>48</v>
      </c>
      <c r="F525" s="284">
        <v>2</v>
      </c>
      <c r="G525" s="291">
        <v>34.590000000000003</v>
      </c>
      <c r="H525" s="291">
        <f t="shared" si="133"/>
        <v>69.180000000000007</v>
      </c>
      <c r="I525" s="309">
        <f t="shared" si="135"/>
        <v>1.6902733125474873E-6</v>
      </c>
      <c r="J525" s="291"/>
      <c r="K525" s="291"/>
      <c r="L525" s="291"/>
      <c r="M525" s="291"/>
      <c r="N525" s="291"/>
      <c r="O525" s="291"/>
      <c r="P525" s="291"/>
      <c r="Q525" s="291"/>
      <c r="R525" s="306">
        <v>0</v>
      </c>
      <c r="S525" s="291">
        <f t="shared" si="134"/>
        <v>0</v>
      </c>
      <c r="T525" s="327">
        <f t="shared" si="136"/>
        <v>2</v>
      </c>
      <c r="U525" s="334">
        <f t="shared" si="137"/>
        <v>69.180000000000007</v>
      </c>
    </row>
    <row r="526" spans="1:21" ht="45">
      <c r="A526" s="333" t="s">
        <v>3826</v>
      </c>
      <c r="B526" s="87" t="s">
        <v>1810</v>
      </c>
      <c r="C526" s="87" t="s">
        <v>3142</v>
      </c>
      <c r="D526" s="290" t="s">
        <v>3150</v>
      </c>
      <c r="E526" s="87" t="s">
        <v>48</v>
      </c>
      <c r="F526" s="284">
        <v>2</v>
      </c>
      <c r="G526" s="291">
        <v>34.590000000000003</v>
      </c>
      <c r="H526" s="291">
        <f t="shared" si="133"/>
        <v>69.180000000000007</v>
      </c>
      <c r="I526" s="309">
        <f t="shared" si="135"/>
        <v>1.6902733125474873E-6</v>
      </c>
      <c r="J526" s="291"/>
      <c r="K526" s="291"/>
      <c r="L526" s="291"/>
      <c r="M526" s="291"/>
      <c r="N526" s="291"/>
      <c r="O526" s="291"/>
      <c r="P526" s="291"/>
      <c r="Q526" s="291"/>
      <c r="R526" s="306">
        <v>0</v>
      </c>
      <c r="S526" s="291">
        <f t="shared" si="134"/>
        <v>0</v>
      </c>
      <c r="T526" s="327">
        <f t="shared" si="136"/>
        <v>2</v>
      </c>
      <c r="U526" s="334">
        <f t="shared" si="137"/>
        <v>69.180000000000007</v>
      </c>
    </row>
    <row r="527" spans="1:21" ht="45">
      <c r="A527" s="333" t="s">
        <v>3827</v>
      </c>
      <c r="B527" s="87" t="s">
        <v>1810</v>
      </c>
      <c r="C527" s="87" t="s">
        <v>3142</v>
      </c>
      <c r="D527" s="290" t="s">
        <v>3151</v>
      </c>
      <c r="E527" s="87" t="s">
        <v>48</v>
      </c>
      <c r="F527" s="284">
        <v>2</v>
      </c>
      <c r="G527" s="291">
        <v>34.590000000000003</v>
      </c>
      <c r="H527" s="291">
        <f t="shared" si="133"/>
        <v>69.180000000000007</v>
      </c>
      <c r="I527" s="309">
        <f t="shared" si="135"/>
        <v>1.6902733125474873E-6</v>
      </c>
      <c r="J527" s="291"/>
      <c r="K527" s="291"/>
      <c r="L527" s="291"/>
      <c r="M527" s="291"/>
      <c r="N527" s="291"/>
      <c r="O527" s="291"/>
      <c r="P527" s="291"/>
      <c r="Q527" s="291"/>
      <c r="R527" s="306">
        <v>0</v>
      </c>
      <c r="S527" s="291">
        <f t="shared" si="134"/>
        <v>0</v>
      </c>
      <c r="T527" s="327">
        <f t="shared" si="136"/>
        <v>2</v>
      </c>
      <c r="U527" s="334">
        <f t="shared" si="137"/>
        <v>69.180000000000007</v>
      </c>
    </row>
    <row r="528" spans="1:21">
      <c r="A528" s="336"/>
      <c r="B528" s="293"/>
      <c r="C528" s="293"/>
      <c r="D528" s="294" t="s">
        <v>2593</v>
      </c>
      <c r="E528" s="293"/>
      <c r="F528" s="316"/>
      <c r="G528" s="295">
        <v>0</v>
      </c>
      <c r="H528" s="296">
        <f>SUM(H477:H527)</f>
        <v>270102.68000000011</v>
      </c>
      <c r="I528" s="310">
        <f t="shared" si="135"/>
        <v>6.5994124263017359E-3</v>
      </c>
      <c r="J528" s="296"/>
      <c r="K528" s="296"/>
      <c r="L528" s="296"/>
      <c r="M528" s="296"/>
      <c r="N528" s="296"/>
      <c r="O528" s="296"/>
      <c r="P528" s="296"/>
      <c r="Q528" s="296"/>
      <c r="R528" s="307">
        <v>0</v>
      </c>
      <c r="S528" s="296">
        <f>SUM(S477:S527)</f>
        <v>0</v>
      </c>
      <c r="T528" s="329"/>
      <c r="U528" s="337">
        <f t="shared" ref="U528" si="138">SUM(U477:U527)</f>
        <v>270102.68000000005</v>
      </c>
    </row>
    <row r="529" spans="1:21">
      <c r="A529" s="331" t="s">
        <v>3828</v>
      </c>
      <c r="B529" s="351" t="s">
        <v>3152</v>
      </c>
      <c r="C529" s="351" t="s">
        <v>3152</v>
      </c>
      <c r="D529" s="351" t="s">
        <v>3152</v>
      </c>
      <c r="E529" s="351" t="s">
        <v>3152</v>
      </c>
      <c r="F529" s="351" t="s">
        <v>3152</v>
      </c>
      <c r="G529" s="288"/>
      <c r="H529" s="288"/>
      <c r="I529" s="311"/>
      <c r="J529" s="288"/>
      <c r="K529" s="288"/>
      <c r="L529" s="288"/>
      <c r="M529" s="288"/>
      <c r="N529" s="288"/>
      <c r="O529" s="288"/>
      <c r="P529" s="288"/>
      <c r="Q529" s="288"/>
      <c r="R529" s="305"/>
      <c r="S529" s="288"/>
      <c r="T529" s="326"/>
      <c r="U529" s="338"/>
    </row>
    <row r="530" spans="1:21">
      <c r="A530" s="333" t="s">
        <v>3829</v>
      </c>
      <c r="B530" s="87" t="s">
        <v>1810</v>
      </c>
      <c r="C530" s="87" t="s">
        <v>2852</v>
      </c>
      <c r="D530" s="290" t="s">
        <v>2853</v>
      </c>
      <c r="E530" s="87" t="s">
        <v>48</v>
      </c>
      <c r="F530" s="284">
        <v>248</v>
      </c>
      <c r="G530" s="291">
        <v>14.98</v>
      </c>
      <c r="H530" s="291">
        <f t="shared" ref="H530:H538" si="139">ROUND((G530*F530),2)</f>
        <v>3715.04</v>
      </c>
      <c r="I530" s="309">
        <f t="shared" si="135"/>
        <v>9.0769484924059212E-5</v>
      </c>
      <c r="J530" s="291"/>
      <c r="K530" s="291"/>
      <c r="L530" s="291"/>
      <c r="M530" s="291"/>
      <c r="N530" s="291"/>
      <c r="O530" s="291"/>
      <c r="P530" s="291"/>
      <c r="Q530" s="291"/>
      <c r="R530" s="306">
        <v>0</v>
      </c>
      <c r="S530" s="291">
        <f t="shared" ref="S530:S538" si="140">ROUND((R530*P530),2)</f>
        <v>0</v>
      </c>
      <c r="T530" s="327">
        <f t="shared" si="136"/>
        <v>248</v>
      </c>
      <c r="U530" s="334">
        <f t="shared" si="137"/>
        <v>3715.04</v>
      </c>
    </row>
    <row r="531" spans="1:21" ht="30">
      <c r="A531" s="333" t="s">
        <v>3830</v>
      </c>
      <c r="B531" s="87" t="s">
        <v>1810</v>
      </c>
      <c r="C531" s="87" t="s">
        <v>3153</v>
      </c>
      <c r="D531" s="290" t="s">
        <v>3154</v>
      </c>
      <c r="E531" s="87" t="s">
        <v>48</v>
      </c>
      <c r="F531" s="284">
        <v>4</v>
      </c>
      <c r="G531" s="291">
        <v>713.68</v>
      </c>
      <c r="H531" s="291">
        <f t="shared" si="139"/>
        <v>2854.72</v>
      </c>
      <c r="I531" s="309">
        <f t="shared" si="135"/>
        <v>6.9749306603000325E-5</v>
      </c>
      <c r="J531" s="291"/>
      <c r="K531" s="291"/>
      <c r="L531" s="291"/>
      <c r="M531" s="291"/>
      <c r="N531" s="291"/>
      <c r="O531" s="291"/>
      <c r="P531" s="291"/>
      <c r="Q531" s="291"/>
      <c r="R531" s="306">
        <v>0</v>
      </c>
      <c r="S531" s="291">
        <f t="shared" si="140"/>
        <v>0</v>
      </c>
      <c r="T531" s="327">
        <f t="shared" si="136"/>
        <v>4</v>
      </c>
      <c r="U531" s="334">
        <f t="shared" si="137"/>
        <v>2854.72</v>
      </c>
    </row>
    <row r="532" spans="1:21" ht="30">
      <c r="A532" s="333" t="s">
        <v>3831</v>
      </c>
      <c r="B532" s="87" t="s">
        <v>1810</v>
      </c>
      <c r="C532" s="87" t="s">
        <v>3155</v>
      </c>
      <c r="D532" s="290" t="s">
        <v>1330</v>
      </c>
      <c r="E532" s="87" t="s">
        <v>48</v>
      </c>
      <c r="F532" s="284">
        <v>3</v>
      </c>
      <c r="G532" s="291">
        <v>818.33</v>
      </c>
      <c r="H532" s="291">
        <f t="shared" si="139"/>
        <v>2454.9899999999998</v>
      </c>
      <c r="I532" s="309">
        <f t="shared" si="135"/>
        <v>5.9982712916608197E-5</v>
      </c>
      <c r="J532" s="291"/>
      <c r="K532" s="291"/>
      <c r="L532" s="291"/>
      <c r="M532" s="291"/>
      <c r="N532" s="291"/>
      <c r="O532" s="291"/>
      <c r="P532" s="291"/>
      <c r="Q532" s="291"/>
      <c r="R532" s="306">
        <v>0</v>
      </c>
      <c r="S532" s="291">
        <f t="shared" si="140"/>
        <v>0</v>
      </c>
      <c r="T532" s="327">
        <f t="shared" si="136"/>
        <v>3</v>
      </c>
      <c r="U532" s="334">
        <f t="shared" si="137"/>
        <v>2454.9900000000002</v>
      </c>
    </row>
    <row r="533" spans="1:21" ht="30">
      <c r="A533" s="333" t="s">
        <v>3832</v>
      </c>
      <c r="B533" s="87" t="s">
        <v>1810</v>
      </c>
      <c r="C533" s="87" t="s">
        <v>3156</v>
      </c>
      <c r="D533" s="290" t="s">
        <v>3157</v>
      </c>
      <c r="E533" s="87" t="s">
        <v>48</v>
      </c>
      <c r="F533" s="284">
        <v>2</v>
      </c>
      <c r="G533" s="291">
        <v>2124.1</v>
      </c>
      <c r="H533" s="291">
        <f t="shared" si="139"/>
        <v>4248.2</v>
      </c>
      <c r="I533" s="309">
        <f t="shared" si="135"/>
        <v>1.0379617066152406E-4</v>
      </c>
      <c r="J533" s="291"/>
      <c r="K533" s="291"/>
      <c r="L533" s="291"/>
      <c r="M533" s="291"/>
      <c r="N533" s="291"/>
      <c r="O533" s="291"/>
      <c r="P533" s="291"/>
      <c r="Q533" s="291"/>
      <c r="R533" s="306">
        <v>0</v>
      </c>
      <c r="S533" s="291">
        <f t="shared" si="140"/>
        <v>0</v>
      </c>
      <c r="T533" s="327">
        <f t="shared" si="136"/>
        <v>2</v>
      </c>
      <c r="U533" s="334">
        <f t="shared" si="137"/>
        <v>4248.2</v>
      </c>
    </row>
    <row r="534" spans="1:21" ht="30">
      <c r="A534" s="333" t="s">
        <v>3833</v>
      </c>
      <c r="B534" s="87" t="s">
        <v>1810</v>
      </c>
      <c r="C534" s="87" t="s">
        <v>2859</v>
      </c>
      <c r="D534" s="290" t="s">
        <v>1292</v>
      </c>
      <c r="E534" s="87" t="s">
        <v>48</v>
      </c>
      <c r="F534" s="284">
        <v>4</v>
      </c>
      <c r="G534" s="291">
        <v>140.69</v>
      </c>
      <c r="H534" s="291">
        <f t="shared" si="139"/>
        <v>562.76</v>
      </c>
      <c r="I534" s="309">
        <f t="shared" si="135"/>
        <v>1.3749901841127838E-5</v>
      </c>
      <c r="J534" s="291"/>
      <c r="K534" s="291"/>
      <c r="L534" s="291"/>
      <c r="M534" s="291"/>
      <c r="N534" s="291"/>
      <c r="O534" s="291"/>
      <c r="P534" s="291"/>
      <c r="Q534" s="291"/>
      <c r="R534" s="306">
        <v>0</v>
      </c>
      <c r="S534" s="291">
        <f t="shared" si="140"/>
        <v>0</v>
      </c>
      <c r="T534" s="327">
        <f t="shared" si="136"/>
        <v>4</v>
      </c>
      <c r="U534" s="334">
        <f t="shared" si="137"/>
        <v>562.76</v>
      </c>
    </row>
    <row r="535" spans="1:21" ht="30">
      <c r="A535" s="333" t="s">
        <v>3834</v>
      </c>
      <c r="B535" s="87" t="s">
        <v>1810</v>
      </c>
      <c r="C535" s="87" t="s">
        <v>3158</v>
      </c>
      <c r="D535" s="290" t="s">
        <v>1339</v>
      </c>
      <c r="E535" s="87" t="s">
        <v>48</v>
      </c>
      <c r="F535" s="284">
        <v>10</v>
      </c>
      <c r="G535" s="291">
        <v>56.55</v>
      </c>
      <c r="H535" s="291">
        <f t="shared" si="139"/>
        <v>565.5</v>
      </c>
      <c r="I535" s="309">
        <f t="shared" si="135"/>
        <v>1.3816848196669615E-5</v>
      </c>
      <c r="J535" s="291"/>
      <c r="K535" s="291"/>
      <c r="L535" s="291"/>
      <c r="M535" s="291"/>
      <c r="N535" s="291"/>
      <c r="O535" s="291"/>
      <c r="P535" s="291"/>
      <c r="Q535" s="291"/>
      <c r="R535" s="306">
        <v>0</v>
      </c>
      <c r="S535" s="291">
        <f t="shared" si="140"/>
        <v>0</v>
      </c>
      <c r="T535" s="327">
        <f t="shared" si="136"/>
        <v>10</v>
      </c>
      <c r="U535" s="334">
        <f t="shared" si="137"/>
        <v>565.5</v>
      </c>
    </row>
    <row r="536" spans="1:21" ht="30">
      <c r="A536" s="333" t="s">
        <v>3835</v>
      </c>
      <c r="B536" s="87" t="s">
        <v>1810</v>
      </c>
      <c r="C536" s="87" t="s">
        <v>3159</v>
      </c>
      <c r="D536" s="290" t="s">
        <v>1342</v>
      </c>
      <c r="E536" s="87" t="s">
        <v>48</v>
      </c>
      <c r="F536" s="284">
        <v>10</v>
      </c>
      <c r="G536" s="291">
        <v>498.22</v>
      </c>
      <c r="H536" s="291">
        <f t="shared" si="139"/>
        <v>4982.2</v>
      </c>
      <c r="I536" s="309">
        <f t="shared" si="135"/>
        <v>1.217299753942482E-4</v>
      </c>
      <c r="J536" s="291"/>
      <c r="K536" s="291"/>
      <c r="L536" s="291"/>
      <c r="M536" s="291"/>
      <c r="N536" s="291"/>
      <c r="O536" s="291"/>
      <c r="P536" s="291"/>
      <c r="Q536" s="291"/>
      <c r="R536" s="306">
        <v>0</v>
      </c>
      <c r="S536" s="291">
        <f t="shared" si="140"/>
        <v>0</v>
      </c>
      <c r="T536" s="327">
        <f t="shared" si="136"/>
        <v>10</v>
      </c>
      <c r="U536" s="334">
        <f t="shared" si="137"/>
        <v>4982.2000000000007</v>
      </c>
    </row>
    <row r="537" spans="1:21" ht="30">
      <c r="A537" s="333" t="s">
        <v>3836</v>
      </c>
      <c r="B537" s="87" t="s">
        <v>1810</v>
      </c>
      <c r="C537" s="87" t="s">
        <v>3160</v>
      </c>
      <c r="D537" s="290" t="s">
        <v>1289</v>
      </c>
      <c r="E537" s="87" t="s">
        <v>48</v>
      </c>
      <c r="F537" s="284">
        <v>8</v>
      </c>
      <c r="G537" s="291">
        <v>136.08000000000001</v>
      </c>
      <c r="H537" s="291">
        <f t="shared" si="139"/>
        <v>1088.6400000000001</v>
      </c>
      <c r="I537" s="309">
        <f t="shared" si="135"/>
        <v>2.6598715509853953E-5</v>
      </c>
      <c r="J537" s="291"/>
      <c r="K537" s="291"/>
      <c r="L537" s="291"/>
      <c r="M537" s="291"/>
      <c r="N537" s="291"/>
      <c r="O537" s="291"/>
      <c r="P537" s="291"/>
      <c r="Q537" s="291"/>
      <c r="R537" s="306">
        <v>0</v>
      </c>
      <c r="S537" s="291">
        <f t="shared" si="140"/>
        <v>0</v>
      </c>
      <c r="T537" s="327">
        <f t="shared" si="136"/>
        <v>8</v>
      </c>
      <c r="U537" s="334">
        <f t="shared" si="137"/>
        <v>1088.6400000000001</v>
      </c>
    </row>
    <row r="538" spans="1:21" ht="45">
      <c r="A538" s="333" t="s">
        <v>3837</v>
      </c>
      <c r="B538" s="87" t="s">
        <v>1810</v>
      </c>
      <c r="C538" s="87" t="s">
        <v>3161</v>
      </c>
      <c r="D538" s="290" t="s">
        <v>3162</v>
      </c>
      <c r="E538" s="87" t="s">
        <v>48</v>
      </c>
      <c r="F538" s="284">
        <v>4</v>
      </c>
      <c r="G538" s="291">
        <v>6592.34</v>
      </c>
      <c r="H538" s="291">
        <f t="shared" si="139"/>
        <v>26369.360000000001</v>
      </c>
      <c r="I538" s="309">
        <f t="shared" si="135"/>
        <v>6.4428195254346925E-4</v>
      </c>
      <c r="J538" s="291"/>
      <c r="K538" s="291"/>
      <c r="L538" s="291"/>
      <c r="M538" s="291"/>
      <c r="N538" s="291"/>
      <c r="O538" s="291"/>
      <c r="P538" s="291"/>
      <c r="Q538" s="291"/>
      <c r="R538" s="306">
        <v>0</v>
      </c>
      <c r="S538" s="291">
        <f t="shared" si="140"/>
        <v>0</v>
      </c>
      <c r="T538" s="327">
        <f t="shared" si="136"/>
        <v>4</v>
      </c>
      <c r="U538" s="334">
        <f t="shared" si="137"/>
        <v>26369.360000000001</v>
      </c>
    </row>
    <row r="539" spans="1:21">
      <c r="A539" s="336"/>
      <c r="B539" s="293"/>
      <c r="C539" s="293"/>
      <c r="D539" s="294" t="s">
        <v>2593</v>
      </c>
      <c r="E539" s="293"/>
      <c r="F539" s="316"/>
      <c r="G539" s="295">
        <v>0</v>
      </c>
      <c r="H539" s="296">
        <f>SUM(H530:H538)</f>
        <v>46841.41</v>
      </c>
      <c r="I539" s="310">
        <f t="shared" si="135"/>
        <v>1.1444750685905608E-3</v>
      </c>
      <c r="J539" s="296"/>
      <c r="K539" s="296"/>
      <c r="L539" s="296"/>
      <c r="M539" s="296"/>
      <c r="N539" s="296"/>
      <c r="O539" s="296"/>
      <c r="P539" s="296"/>
      <c r="Q539" s="296"/>
      <c r="R539" s="307">
        <v>0</v>
      </c>
      <c r="S539" s="296">
        <f>SUM(S530:S538)</f>
        <v>0</v>
      </c>
      <c r="T539" s="329"/>
      <c r="U539" s="337">
        <f t="shared" ref="U539" si="141">SUM(U530:U538)</f>
        <v>46841.41</v>
      </c>
    </row>
    <row r="540" spans="1:21">
      <c r="A540" s="331" t="s">
        <v>3838</v>
      </c>
      <c r="B540" s="351" t="s">
        <v>3163</v>
      </c>
      <c r="C540" s="351" t="s">
        <v>3163</v>
      </c>
      <c r="D540" s="351" t="s">
        <v>3163</v>
      </c>
      <c r="E540" s="351" t="s">
        <v>3163</v>
      </c>
      <c r="F540" s="351" t="s">
        <v>3163</v>
      </c>
      <c r="G540" s="288"/>
      <c r="H540" s="288"/>
      <c r="I540" s="311"/>
      <c r="J540" s="288"/>
      <c r="K540" s="288"/>
      <c r="L540" s="288"/>
      <c r="M540" s="288"/>
      <c r="N540" s="288"/>
      <c r="O540" s="288"/>
      <c r="P540" s="288"/>
      <c r="Q540" s="288"/>
      <c r="R540" s="305"/>
      <c r="S540" s="288"/>
      <c r="T540" s="326"/>
      <c r="U540" s="338"/>
    </row>
    <row r="541" spans="1:21" ht="30">
      <c r="A541" s="333" t="s">
        <v>3839</v>
      </c>
      <c r="B541" s="87" t="s">
        <v>1810</v>
      </c>
      <c r="C541" s="87" t="s">
        <v>3164</v>
      </c>
      <c r="D541" s="290" t="s">
        <v>1165</v>
      </c>
      <c r="E541" s="87" t="s">
        <v>107</v>
      </c>
      <c r="F541" s="284">
        <v>941</v>
      </c>
      <c r="G541" s="291">
        <v>30.58</v>
      </c>
      <c r="H541" s="291">
        <f t="shared" ref="H541:H549" si="142">ROUND((G541*F541),2)</f>
        <v>28775.78</v>
      </c>
      <c r="I541" s="309">
        <f t="shared" si="135"/>
        <v>7.0307795579268185E-4</v>
      </c>
      <c r="J541" s="291"/>
      <c r="K541" s="291"/>
      <c r="L541" s="291"/>
      <c r="M541" s="291"/>
      <c r="N541" s="291"/>
      <c r="O541" s="291"/>
      <c r="P541" s="291"/>
      <c r="Q541" s="291"/>
      <c r="R541" s="306">
        <v>0</v>
      </c>
      <c r="S541" s="291">
        <f t="shared" ref="S541:S549" si="143">ROUND((R541*P541),2)</f>
        <v>0</v>
      </c>
      <c r="T541" s="327">
        <f t="shared" si="136"/>
        <v>941</v>
      </c>
      <c r="U541" s="334">
        <f t="shared" si="137"/>
        <v>28775.78</v>
      </c>
    </row>
    <row r="542" spans="1:21" ht="30">
      <c r="A542" s="333" t="s">
        <v>3840</v>
      </c>
      <c r="B542" s="87" t="s">
        <v>1810</v>
      </c>
      <c r="C542" s="87" t="s">
        <v>3165</v>
      </c>
      <c r="D542" s="290" t="s">
        <v>1168</v>
      </c>
      <c r="E542" s="87" t="s">
        <v>107</v>
      </c>
      <c r="F542" s="284">
        <v>259.09900000000005</v>
      </c>
      <c r="G542" s="291">
        <v>42.63</v>
      </c>
      <c r="H542" s="291">
        <f t="shared" si="142"/>
        <v>11045.39</v>
      </c>
      <c r="I542" s="309">
        <f t="shared" si="135"/>
        <v>2.6987175402831584E-4</v>
      </c>
      <c r="J542" s="291"/>
      <c r="K542" s="291"/>
      <c r="L542" s="291"/>
      <c r="M542" s="291"/>
      <c r="N542" s="291"/>
      <c r="O542" s="291"/>
      <c r="P542" s="291"/>
      <c r="Q542" s="291"/>
      <c r="R542" s="306">
        <v>0</v>
      </c>
      <c r="S542" s="291">
        <f t="shared" si="143"/>
        <v>0</v>
      </c>
      <c r="T542" s="327">
        <f t="shared" si="136"/>
        <v>259.09900000000005</v>
      </c>
      <c r="U542" s="334">
        <f t="shared" si="137"/>
        <v>11045.390370000003</v>
      </c>
    </row>
    <row r="543" spans="1:21" ht="30">
      <c r="A543" s="333" t="s">
        <v>3841</v>
      </c>
      <c r="B543" s="87" t="s">
        <v>1810</v>
      </c>
      <c r="C543" s="87" t="s">
        <v>3166</v>
      </c>
      <c r="D543" s="290" t="s">
        <v>1171</v>
      </c>
      <c r="E543" s="87" t="s">
        <v>107</v>
      </c>
      <c r="F543" s="284">
        <v>1143.5643999999998</v>
      </c>
      <c r="G543" s="291">
        <v>54.67</v>
      </c>
      <c r="H543" s="291">
        <f t="shared" si="142"/>
        <v>62518.67</v>
      </c>
      <c r="I543" s="309">
        <f t="shared" si="135"/>
        <v>1.5275171933646025E-3</v>
      </c>
      <c r="J543" s="291"/>
      <c r="K543" s="291"/>
      <c r="L543" s="291"/>
      <c r="M543" s="291"/>
      <c r="N543" s="291"/>
      <c r="O543" s="291"/>
      <c r="P543" s="291"/>
      <c r="Q543" s="291"/>
      <c r="R543" s="306">
        <v>0</v>
      </c>
      <c r="S543" s="291">
        <f t="shared" si="143"/>
        <v>0</v>
      </c>
      <c r="T543" s="327">
        <f t="shared" si="136"/>
        <v>1143.5643999999998</v>
      </c>
      <c r="U543" s="334">
        <f t="shared" si="137"/>
        <v>62518.665747999985</v>
      </c>
    </row>
    <row r="544" spans="1:21" ht="30">
      <c r="A544" s="333" t="s">
        <v>3842</v>
      </c>
      <c r="B544" s="87" t="s">
        <v>1810</v>
      </c>
      <c r="C544" s="87" t="s">
        <v>3167</v>
      </c>
      <c r="D544" s="290" t="s">
        <v>1174</v>
      </c>
      <c r="E544" s="87" t="s">
        <v>107</v>
      </c>
      <c r="F544" s="284">
        <v>123.27719999999999</v>
      </c>
      <c r="G544" s="291">
        <v>66.459999999999994</v>
      </c>
      <c r="H544" s="291">
        <f t="shared" si="142"/>
        <v>8193</v>
      </c>
      <c r="I544" s="309">
        <f t="shared" si="135"/>
        <v>2.0017937626050247E-4</v>
      </c>
      <c r="J544" s="291"/>
      <c r="K544" s="291"/>
      <c r="L544" s="291"/>
      <c r="M544" s="291"/>
      <c r="N544" s="291"/>
      <c r="O544" s="291"/>
      <c r="P544" s="291"/>
      <c r="Q544" s="291"/>
      <c r="R544" s="306">
        <v>0</v>
      </c>
      <c r="S544" s="291">
        <f t="shared" si="143"/>
        <v>0</v>
      </c>
      <c r="T544" s="327">
        <f t="shared" si="136"/>
        <v>123.27719999999999</v>
      </c>
      <c r="U544" s="334">
        <f t="shared" si="137"/>
        <v>8193.0027119999995</v>
      </c>
    </row>
    <row r="545" spans="1:21" ht="30">
      <c r="A545" s="333" t="s">
        <v>3843</v>
      </c>
      <c r="B545" s="87" t="s">
        <v>1810</v>
      </c>
      <c r="C545" s="87" t="s">
        <v>3168</v>
      </c>
      <c r="D545" s="290" t="s">
        <v>3169</v>
      </c>
      <c r="E545" s="87" t="s">
        <v>48</v>
      </c>
      <c r="F545" s="284">
        <v>48</v>
      </c>
      <c r="G545" s="291">
        <v>20.78</v>
      </c>
      <c r="H545" s="291">
        <f t="shared" si="142"/>
        <v>997.44</v>
      </c>
      <c r="I545" s="309">
        <f t="shared" si="135"/>
        <v>2.4370428055324743E-5</v>
      </c>
      <c r="J545" s="291"/>
      <c r="K545" s="291"/>
      <c r="L545" s="291"/>
      <c r="M545" s="291"/>
      <c r="N545" s="291"/>
      <c r="O545" s="291"/>
      <c r="P545" s="291"/>
      <c r="Q545" s="291"/>
      <c r="R545" s="306">
        <v>0</v>
      </c>
      <c r="S545" s="291">
        <f t="shared" si="143"/>
        <v>0</v>
      </c>
      <c r="T545" s="327">
        <f t="shared" si="136"/>
        <v>48</v>
      </c>
      <c r="U545" s="334">
        <f t="shared" si="137"/>
        <v>997.44</v>
      </c>
    </row>
    <row r="546" spans="1:21" ht="30">
      <c r="A546" s="333" t="s">
        <v>3844</v>
      </c>
      <c r="B546" s="87" t="s">
        <v>1810</v>
      </c>
      <c r="C546" s="87" t="s">
        <v>3170</v>
      </c>
      <c r="D546" s="290" t="s">
        <v>3171</v>
      </c>
      <c r="E546" s="87" t="s">
        <v>48</v>
      </c>
      <c r="F546" s="284">
        <v>48</v>
      </c>
      <c r="G546" s="291">
        <v>34.25</v>
      </c>
      <c r="H546" s="291">
        <f t="shared" si="142"/>
        <v>1644</v>
      </c>
      <c r="I546" s="309">
        <f t="shared" si="135"/>
        <v>4.0167813325066045E-5</v>
      </c>
      <c r="J546" s="291"/>
      <c r="K546" s="291"/>
      <c r="L546" s="291"/>
      <c r="M546" s="291"/>
      <c r="N546" s="291"/>
      <c r="O546" s="291"/>
      <c r="P546" s="291"/>
      <c r="Q546" s="291"/>
      <c r="R546" s="306">
        <v>0</v>
      </c>
      <c r="S546" s="291">
        <f t="shared" si="143"/>
        <v>0</v>
      </c>
      <c r="T546" s="327">
        <f t="shared" si="136"/>
        <v>48</v>
      </c>
      <c r="U546" s="334">
        <f t="shared" si="137"/>
        <v>1644</v>
      </c>
    </row>
    <row r="547" spans="1:21">
      <c r="A547" s="333" t="s">
        <v>3845</v>
      </c>
      <c r="B547" s="87" t="s">
        <v>1810</v>
      </c>
      <c r="C547" s="87" t="s">
        <v>3172</v>
      </c>
      <c r="D547" s="290" t="s">
        <v>1740</v>
      </c>
      <c r="E547" s="87" t="s">
        <v>1741</v>
      </c>
      <c r="F547" s="284">
        <v>25</v>
      </c>
      <c r="G547" s="291">
        <v>105.14</v>
      </c>
      <c r="H547" s="291">
        <f t="shared" si="142"/>
        <v>2628.5</v>
      </c>
      <c r="I547" s="309">
        <f t="shared" si="135"/>
        <v>6.422207866480298E-5</v>
      </c>
      <c r="J547" s="291"/>
      <c r="K547" s="291"/>
      <c r="L547" s="291"/>
      <c r="M547" s="291"/>
      <c r="N547" s="291"/>
      <c r="O547" s="291"/>
      <c r="P547" s="291"/>
      <c r="Q547" s="291"/>
      <c r="R547" s="306">
        <v>0</v>
      </c>
      <c r="S547" s="291">
        <f t="shared" si="143"/>
        <v>0</v>
      </c>
      <c r="T547" s="327">
        <f t="shared" si="136"/>
        <v>25</v>
      </c>
      <c r="U547" s="334">
        <f t="shared" si="137"/>
        <v>2628.5</v>
      </c>
    </row>
    <row r="548" spans="1:21" ht="75">
      <c r="A548" s="333" t="s">
        <v>3846</v>
      </c>
      <c r="B548" s="87" t="s">
        <v>1810</v>
      </c>
      <c r="C548" s="87" t="s">
        <v>3173</v>
      </c>
      <c r="D548" s="290" t="s">
        <v>1192</v>
      </c>
      <c r="E548" s="87" t="s">
        <v>107</v>
      </c>
      <c r="F548" s="284">
        <v>2290</v>
      </c>
      <c r="G548" s="291">
        <v>143.99</v>
      </c>
      <c r="H548" s="291">
        <f t="shared" si="142"/>
        <v>329737.09999999998</v>
      </c>
      <c r="I548" s="309">
        <f t="shared" si="135"/>
        <v>8.0564588072680257E-3</v>
      </c>
      <c r="J548" s="291"/>
      <c r="K548" s="291"/>
      <c r="L548" s="291"/>
      <c r="M548" s="291"/>
      <c r="N548" s="291"/>
      <c r="O548" s="291"/>
      <c r="P548" s="291"/>
      <c r="Q548" s="291"/>
      <c r="R548" s="306">
        <v>0</v>
      </c>
      <c r="S548" s="291">
        <f t="shared" si="143"/>
        <v>0</v>
      </c>
      <c r="T548" s="327">
        <f t="shared" si="136"/>
        <v>2290</v>
      </c>
      <c r="U548" s="334">
        <f t="shared" si="137"/>
        <v>329737.10000000003</v>
      </c>
    </row>
    <row r="549" spans="1:21" ht="30">
      <c r="A549" s="333" t="s">
        <v>3847</v>
      </c>
      <c r="B549" s="87" t="s">
        <v>1810</v>
      </c>
      <c r="C549" s="87" t="s">
        <v>2802</v>
      </c>
      <c r="D549" s="290" t="s">
        <v>632</v>
      </c>
      <c r="E549" s="87" t="s">
        <v>107</v>
      </c>
      <c r="F549" s="284">
        <v>639.98020000000008</v>
      </c>
      <c r="G549" s="291">
        <v>28.99</v>
      </c>
      <c r="H549" s="291">
        <f t="shared" si="142"/>
        <v>18553.03</v>
      </c>
      <c r="I549" s="309">
        <f t="shared" si="135"/>
        <v>4.5330574553184306E-4</v>
      </c>
      <c r="J549" s="291"/>
      <c r="K549" s="291"/>
      <c r="L549" s="291"/>
      <c r="M549" s="291"/>
      <c r="N549" s="291"/>
      <c r="O549" s="291"/>
      <c r="P549" s="291"/>
      <c r="Q549" s="291"/>
      <c r="R549" s="306">
        <v>0</v>
      </c>
      <c r="S549" s="291">
        <f t="shared" si="143"/>
        <v>0</v>
      </c>
      <c r="T549" s="327">
        <f t="shared" si="136"/>
        <v>639.98020000000008</v>
      </c>
      <c r="U549" s="334">
        <f t="shared" si="137"/>
        <v>18553.025998000001</v>
      </c>
    </row>
    <row r="550" spans="1:21">
      <c r="A550" s="336"/>
      <c r="B550" s="293"/>
      <c r="C550" s="293"/>
      <c r="D550" s="294" t="s">
        <v>2593</v>
      </c>
      <c r="E550" s="293"/>
      <c r="F550" s="316"/>
      <c r="G550" s="295">
        <v>0</v>
      </c>
      <c r="H550" s="296">
        <f>SUM(H541:H549)</f>
        <v>464092.91000000003</v>
      </c>
      <c r="I550" s="310">
        <f t="shared" si="135"/>
        <v>1.1339171152291166E-2</v>
      </c>
      <c r="J550" s="296"/>
      <c r="K550" s="296"/>
      <c r="L550" s="296"/>
      <c r="M550" s="296"/>
      <c r="N550" s="296"/>
      <c r="O550" s="296"/>
      <c r="P550" s="296"/>
      <c r="Q550" s="296"/>
      <c r="R550" s="307">
        <v>0</v>
      </c>
      <c r="S550" s="296">
        <f>SUM(S541:S549)</f>
        <v>0</v>
      </c>
      <c r="T550" s="329"/>
      <c r="U550" s="337">
        <f t="shared" ref="U550" si="144">SUM(U541:U549)</f>
        <v>464092.904828</v>
      </c>
    </row>
    <row r="551" spans="1:21">
      <c r="A551" s="331">
        <v>17</v>
      </c>
      <c r="B551" s="351" t="s">
        <v>1492</v>
      </c>
      <c r="C551" s="351" t="s">
        <v>1492</v>
      </c>
      <c r="D551" s="351" t="s">
        <v>1492</v>
      </c>
      <c r="E551" s="351" t="s">
        <v>1492</v>
      </c>
      <c r="F551" s="351" t="s">
        <v>1492</v>
      </c>
      <c r="G551" s="288"/>
      <c r="H551" s="288"/>
      <c r="I551" s="311"/>
      <c r="J551" s="288"/>
      <c r="K551" s="288"/>
      <c r="L551" s="288"/>
      <c r="M551" s="288"/>
      <c r="N551" s="288"/>
      <c r="O551" s="288"/>
      <c r="P551" s="288"/>
      <c r="Q551" s="288"/>
      <c r="R551" s="305"/>
      <c r="S551" s="288"/>
      <c r="T551" s="326"/>
      <c r="U551" s="338"/>
    </row>
    <row r="552" spans="1:21">
      <c r="A552" s="331" t="s">
        <v>3848</v>
      </c>
      <c r="B552" s="351" t="s">
        <v>1494</v>
      </c>
      <c r="C552" s="351" t="s">
        <v>1494</v>
      </c>
      <c r="D552" s="351" t="s">
        <v>1494</v>
      </c>
      <c r="E552" s="351" t="s">
        <v>1494</v>
      </c>
      <c r="F552" s="351" t="s">
        <v>1494</v>
      </c>
      <c r="G552" s="288"/>
      <c r="H552" s="288"/>
      <c r="I552" s="311"/>
      <c r="J552" s="288"/>
      <c r="K552" s="288"/>
      <c r="L552" s="288"/>
      <c r="M552" s="288"/>
      <c r="N552" s="288"/>
      <c r="O552" s="288"/>
      <c r="P552" s="288"/>
      <c r="Q552" s="288"/>
      <c r="R552" s="305"/>
      <c r="S552" s="288"/>
      <c r="T552" s="326"/>
      <c r="U552" s="338"/>
    </row>
    <row r="553" spans="1:21" ht="90">
      <c r="A553" s="333" t="s">
        <v>3849</v>
      </c>
      <c r="B553" s="87" t="s">
        <v>1810</v>
      </c>
      <c r="C553" s="87" t="s">
        <v>3174</v>
      </c>
      <c r="D553" s="290" t="s">
        <v>3175</v>
      </c>
      <c r="E553" s="87" t="s">
        <v>48</v>
      </c>
      <c r="F553" s="284">
        <v>49</v>
      </c>
      <c r="G553" s="291">
        <v>769.79</v>
      </c>
      <c r="H553" s="291">
        <f>ROUND((G553*F553),2)</f>
        <v>37719.71</v>
      </c>
      <c r="I553" s="309">
        <f t="shared" si="135"/>
        <v>9.2160478707763193E-4</v>
      </c>
      <c r="J553" s="291"/>
      <c r="K553" s="291"/>
      <c r="L553" s="291"/>
      <c r="M553" s="291"/>
      <c r="N553" s="291"/>
      <c r="O553" s="291"/>
      <c r="P553" s="291"/>
      <c r="Q553" s="291"/>
      <c r="R553" s="306">
        <v>0</v>
      </c>
      <c r="S553" s="291">
        <f t="shared" ref="S553:S556" si="145">ROUND((R553*P553),2)</f>
        <v>0</v>
      </c>
      <c r="T553" s="327">
        <f t="shared" si="136"/>
        <v>49</v>
      </c>
      <c r="U553" s="334">
        <f t="shared" si="137"/>
        <v>37719.71</v>
      </c>
    </row>
    <row r="554" spans="1:21" ht="75">
      <c r="A554" s="333" t="s">
        <v>3850</v>
      </c>
      <c r="B554" s="87" t="s">
        <v>1810</v>
      </c>
      <c r="C554" s="87" t="s">
        <v>3176</v>
      </c>
      <c r="D554" s="290" t="s">
        <v>3177</v>
      </c>
      <c r="E554" s="87" t="s">
        <v>48</v>
      </c>
      <c r="F554" s="284">
        <v>13</v>
      </c>
      <c r="G554" s="291">
        <v>684.33</v>
      </c>
      <c r="H554" s="291">
        <f>ROUND((G554*F554),2)</f>
        <v>8896.2900000000009</v>
      </c>
      <c r="I554" s="309">
        <f t="shared" si="135"/>
        <v>2.1736284428567628E-4</v>
      </c>
      <c r="J554" s="291"/>
      <c r="K554" s="291"/>
      <c r="L554" s="291"/>
      <c r="M554" s="291"/>
      <c r="N554" s="291"/>
      <c r="O554" s="291"/>
      <c r="P554" s="291"/>
      <c r="Q554" s="291"/>
      <c r="R554" s="306">
        <v>0</v>
      </c>
      <c r="S554" s="291">
        <f t="shared" si="145"/>
        <v>0</v>
      </c>
      <c r="T554" s="327">
        <f t="shared" si="136"/>
        <v>13</v>
      </c>
      <c r="U554" s="334">
        <f t="shared" si="137"/>
        <v>8896.2900000000009</v>
      </c>
    </row>
    <row r="555" spans="1:21" ht="45">
      <c r="A555" s="333" t="s">
        <v>3851</v>
      </c>
      <c r="B555" s="87" t="s">
        <v>1810</v>
      </c>
      <c r="C555" s="87" t="s">
        <v>3178</v>
      </c>
      <c r="D555" s="290" t="s">
        <v>3179</v>
      </c>
      <c r="E555" s="87" t="s">
        <v>48</v>
      </c>
      <c r="F555" s="284">
        <v>8</v>
      </c>
      <c r="G555" s="291">
        <v>966.34</v>
      </c>
      <c r="H555" s="291">
        <f>ROUND((G555*F555),2)</f>
        <v>7730.72</v>
      </c>
      <c r="I555" s="309">
        <f t="shared" si="135"/>
        <v>1.8888449989559281E-4</v>
      </c>
      <c r="J555" s="291"/>
      <c r="K555" s="291"/>
      <c r="L555" s="291"/>
      <c r="M555" s="291"/>
      <c r="N555" s="291"/>
      <c r="O555" s="291"/>
      <c r="P555" s="291"/>
      <c r="Q555" s="291"/>
      <c r="R555" s="306">
        <v>0</v>
      </c>
      <c r="S555" s="291">
        <f t="shared" si="145"/>
        <v>0</v>
      </c>
      <c r="T555" s="327">
        <f t="shared" si="136"/>
        <v>8</v>
      </c>
      <c r="U555" s="334">
        <f t="shared" si="137"/>
        <v>7730.72</v>
      </c>
    </row>
    <row r="556" spans="1:21" ht="60">
      <c r="A556" s="333" t="s">
        <v>3852</v>
      </c>
      <c r="B556" s="87" t="s">
        <v>1810</v>
      </c>
      <c r="C556" s="87" t="s">
        <v>3180</v>
      </c>
      <c r="D556" s="290" t="s">
        <v>3181</v>
      </c>
      <c r="E556" s="87" t="s">
        <v>48</v>
      </c>
      <c r="F556" s="284">
        <v>34</v>
      </c>
      <c r="G556" s="291">
        <v>459.66</v>
      </c>
      <c r="H556" s="291">
        <f>ROUND((G556*F556),2)</f>
        <v>15628.44</v>
      </c>
      <c r="I556" s="309">
        <f t="shared" si="135"/>
        <v>3.8184930686252749E-4</v>
      </c>
      <c r="J556" s="291"/>
      <c r="K556" s="291"/>
      <c r="L556" s="291"/>
      <c r="M556" s="291"/>
      <c r="N556" s="291"/>
      <c r="O556" s="291"/>
      <c r="P556" s="291"/>
      <c r="Q556" s="291"/>
      <c r="R556" s="306">
        <v>0</v>
      </c>
      <c r="S556" s="291">
        <f t="shared" si="145"/>
        <v>0</v>
      </c>
      <c r="T556" s="327">
        <f t="shared" si="136"/>
        <v>34</v>
      </c>
      <c r="U556" s="334">
        <f t="shared" si="137"/>
        <v>15628.44</v>
      </c>
    </row>
    <row r="557" spans="1:21">
      <c r="A557" s="336"/>
      <c r="B557" s="293"/>
      <c r="C557" s="293"/>
      <c r="D557" s="294" t="s">
        <v>2593</v>
      </c>
      <c r="E557" s="293"/>
      <c r="F557" s="316"/>
      <c r="G557" s="295">
        <v>0</v>
      </c>
      <c r="H557" s="296">
        <f>SUM(H553:H556)</f>
        <v>69975.16</v>
      </c>
      <c r="I557" s="310">
        <f t="shared" si="135"/>
        <v>1.7097014381214286E-3</v>
      </c>
      <c r="J557" s="296"/>
      <c r="K557" s="296"/>
      <c r="L557" s="296"/>
      <c r="M557" s="296"/>
      <c r="N557" s="296"/>
      <c r="O557" s="296"/>
      <c r="P557" s="296"/>
      <c r="Q557" s="296"/>
      <c r="R557" s="307">
        <v>0</v>
      </c>
      <c r="S557" s="296">
        <f>SUM(S553:S556)</f>
        <v>0</v>
      </c>
      <c r="T557" s="329"/>
      <c r="U557" s="337">
        <f t="shared" ref="U557" si="146">SUM(U553:U556)</f>
        <v>69975.16</v>
      </c>
    </row>
    <row r="558" spans="1:21">
      <c r="A558" s="331" t="s">
        <v>3853</v>
      </c>
      <c r="B558" s="351" t="s">
        <v>1508</v>
      </c>
      <c r="C558" s="351" t="s">
        <v>1508</v>
      </c>
      <c r="D558" s="351" t="s">
        <v>1508</v>
      </c>
      <c r="E558" s="351" t="s">
        <v>1508</v>
      </c>
      <c r="F558" s="351" t="s">
        <v>1508</v>
      </c>
      <c r="G558" s="288"/>
      <c r="H558" s="288"/>
      <c r="I558" s="311"/>
      <c r="J558" s="288"/>
      <c r="K558" s="288"/>
      <c r="L558" s="288"/>
      <c r="M558" s="288"/>
      <c r="N558" s="288"/>
      <c r="O558" s="288"/>
      <c r="P558" s="288"/>
      <c r="Q558" s="288"/>
      <c r="R558" s="305"/>
      <c r="S558" s="288"/>
      <c r="T558" s="326"/>
      <c r="U558" s="338"/>
    </row>
    <row r="559" spans="1:21">
      <c r="A559" s="333" t="s">
        <v>3854</v>
      </c>
      <c r="B559" s="87" t="s">
        <v>1810</v>
      </c>
      <c r="C559" s="87" t="s">
        <v>3182</v>
      </c>
      <c r="D559" s="290" t="s">
        <v>1511</v>
      </c>
      <c r="E559" s="87" t="s">
        <v>25</v>
      </c>
      <c r="F559" s="284">
        <v>100.27050000000001</v>
      </c>
      <c r="G559" s="291">
        <v>572.51</v>
      </c>
      <c r="H559" s="291">
        <f>ROUND((G559*F559),2)</f>
        <v>57405.86</v>
      </c>
      <c r="I559" s="309">
        <f t="shared" si="135"/>
        <v>1.4025960269129414E-3</v>
      </c>
      <c r="J559" s="291"/>
      <c r="K559" s="291"/>
      <c r="L559" s="291"/>
      <c r="M559" s="291"/>
      <c r="N559" s="291"/>
      <c r="O559" s="291"/>
      <c r="P559" s="291"/>
      <c r="Q559" s="291"/>
      <c r="R559" s="306">
        <v>0</v>
      </c>
      <c r="S559" s="291">
        <f t="shared" ref="S559:S560" si="147">ROUND((R559*P559),2)</f>
        <v>0</v>
      </c>
      <c r="T559" s="327">
        <f t="shared" si="136"/>
        <v>100.27050000000001</v>
      </c>
      <c r="U559" s="334">
        <f t="shared" si="137"/>
        <v>57405.863955000008</v>
      </c>
    </row>
    <row r="560" spans="1:21" ht="60">
      <c r="A560" s="333" t="s">
        <v>3855</v>
      </c>
      <c r="B560" s="87" t="s">
        <v>1810</v>
      </c>
      <c r="C560" s="87" t="s">
        <v>3183</v>
      </c>
      <c r="D560" s="290" t="s">
        <v>3184</v>
      </c>
      <c r="E560" s="87" t="s">
        <v>25</v>
      </c>
      <c r="F560" s="284">
        <v>15.45</v>
      </c>
      <c r="G560" s="291">
        <v>2601.04</v>
      </c>
      <c r="H560" s="291">
        <f>ROUND((G560*F560),2)</f>
        <v>40186.07</v>
      </c>
      <c r="I560" s="309">
        <f t="shared" si="135"/>
        <v>9.81865302936762E-4</v>
      </c>
      <c r="J560" s="291"/>
      <c r="K560" s="291"/>
      <c r="L560" s="291"/>
      <c r="M560" s="291"/>
      <c r="N560" s="291"/>
      <c r="O560" s="291"/>
      <c r="P560" s="291"/>
      <c r="Q560" s="291"/>
      <c r="R560" s="306">
        <v>0</v>
      </c>
      <c r="S560" s="291">
        <f t="shared" si="147"/>
        <v>0</v>
      </c>
      <c r="T560" s="327">
        <f t="shared" si="136"/>
        <v>15.45</v>
      </c>
      <c r="U560" s="334">
        <f t="shared" si="137"/>
        <v>40186.067999999999</v>
      </c>
    </row>
    <row r="561" spans="1:21">
      <c r="A561" s="336"/>
      <c r="B561" s="293"/>
      <c r="C561" s="293"/>
      <c r="D561" s="294" t="s">
        <v>2593</v>
      </c>
      <c r="E561" s="293"/>
      <c r="F561" s="316"/>
      <c r="G561" s="295">
        <v>0</v>
      </c>
      <c r="H561" s="296">
        <f>SUM(H559:H560)</f>
        <v>97591.93</v>
      </c>
      <c r="I561" s="310">
        <f t="shared" si="135"/>
        <v>2.3844613298497032E-3</v>
      </c>
      <c r="J561" s="296"/>
      <c r="K561" s="296"/>
      <c r="L561" s="296"/>
      <c r="M561" s="296"/>
      <c r="N561" s="296"/>
      <c r="O561" s="296"/>
      <c r="P561" s="296"/>
      <c r="Q561" s="296"/>
      <c r="R561" s="307">
        <v>0</v>
      </c>
      <c r="S561" s="296">
        <f>SUM(S559:S560)</f>
        <v>0</v>
      </c>
      <c r="T561" s="329"/>
      <c r="U561" s="337">
        <f t="shared" ref="U561" si="148">SUM(U559:U560)</f>
        <v>97591.931955000007</v>
      </c>
    </row>
    <row r="562" spans="1:21">
      <c r="A562" s="331" t="s">
        <v>3856</v>
      </c>
      <c r="B562" s="351" t="s">
        <v>1513</v>
      </c>
      <c r="C562" s="351" t="s">
        <v>1513</v>
      </c>
      <c r="D562" s="351" t="s">
        <v>1513</v>
      </c>
      <c r="E562" s="351" t="s">
        <v>1513</v>
      </c>
      <c r="F562" s="351" t="s">
        <v>1513</v>
      </c>
      <c r="G562" s="288"/>
      <c r="H562" s="288"/>
      <c r="I562" s="311"/>
      <c r="J562" s="288"/>
      <c r="K562" s="288"/>
      <c r="L562" s="288"/>
      <c r="M562" s="288"/>
      <c r="N562" s="288"/>
      <c r="O562" s="288"/>
      <c r="P562" s="288"/>
      <c r="Q562" s="288"/>
      <c r="R562" s="305"/>
      <c r="S562" s="288"/>
      <c r="T562" s="326"/>
      <c r="U562" s="338"/>
    </row>
    <row r="563" spans="1:21" ht="30">
      <c r="A563" s="333" t="s">
        <v>3854</v>
      </c>
      <c r="B563" s="87" t="s">
        <v>1810</v>
      </c>
      <c r="C563" s="87" t="s">
        <v>3185</v>
      </c>
      <c r="D563" s="290" t="s">
        <v>3186</v>
      </c>
      <c r="E563" s="87" t="s">
        <v>48</v>
      </c>
      <c r="F563" s="284">
        <v>8</v>
      </c>
      <c r="G563" s="291">
        <v>237.53</v>
      </c>
      <c r="H563" s="291">
        <f>ROUND((G563*F563),2)</f>
        <v>1900.24</v>
      </c>
      <c r="I563" s="309">
        <f t="shared" si="135"/>
        <v>4.6428519217045921E-5</v>
      </c>
      <c r="J563" s="291"/>
      <c r="K563" s="291"/>
      <c r="L563" s="291"/>
      <c r="M563" s="291"/>
      <c r="N563" s="291"/>
      <c r="O563" s="291"/>
      <c r="P563" s="291"/>
      <c r="Q563" s="291"/>
      <c r="R563" s="306">
        <v>0</v>
      </c>
      <c r="S563" s="291">
        <f t="shared" ref="S563:S565" si="149">ROUND((R563*P563),2)</f>
        <v>0</v>
      </c>
      <c r="T563" s="327">
        <f t="shared" si="136"/>
        <v>8</v>
      </c>
      <c r="U563" s="334">
        <f t="shared" si="137"/>
        <v>1900.24</v>
      </c>
    </row>
    <row r="564" spans="1:21" ht="30">
      <c r="A564" s="333" t="s">
        <v>3855</v>
      </c>
      <c r="B564" s="87" t="s">
        <v>1810</v>
      </c>
      <c r="C564" s="87" t="s">
        <v>3187</v>
      </c>
      <c r="D564" s="290" t="s">
        <v>3188</v>
      </c>
      <c r="E564" s="87" t="s">
        <v>48</v>
      </c>
      <c r="F564" s="284">
        <v>19</v>
      </c>
      <c r="G564" s="291">
        <v>289.64999999999998</v>
      </c>
      <c r="H564" s="291">
        <f>ROUND((G564*F564),2)</f>
        <v>5503.35</v>
      </c>
      <c r="I564" s="309">
        <f t="shared" si="135"/>
        <v>1.344632210842471E-4</v>
      </c>
      <c r="J564" s="291"/>
      <c r="K564" s="291"/>
      <c r="L564" s="291"/>
      <c r="M564" s="291"/>
      <c r="N564" s="291"/>
      <c r="O564" s="291"/>
      <c r="P564" s="291"/>
      <c r="Q564" s="291"/>
      <c r="R564" s="306">
        <v>0</v>
      </c>
      <c r="S564" s="291">
        <f t="shared" si="149"/>
        <v>0</v>
      </c>
      <c r="T564" s="327">
        <f t="shared" si="136"/>
        <v>19</v>
      </c>
      <c r="U564" s="334">
        <f t="shared" si="137"/>
        <v>5503.3499999999995</v>
      </c>
    </row>
    <row r="565" spans="1:21" ht="30">
      <c r="A565" s="333" t="s">
        <v>3857</v>
      </c>
      <c r="B565" s="87" t="s">
        <v>1810</v>
      </c>
      <c r="C565" s="87" t="s">
        <v>3189</v>
      </c>
      <c r="D565" s="290" t="s">
        <v>3190</v>
      </c>
      <c r="E565" s="87" t="s">
        <v>48</v>
      </c>
      <c r="F565" s="284">
        <v>45</v>
      </c>
      <c r="G565" s="291">
        <v>357.87</v>
      </c>
      <c r="H565" s="291">
        <f>ROUND((G565*F565),2)</f>
        <v>16104.15</v>
      </c>
      <c r="I565" s="309">
        <f t="shared" si="135"/>
        <v>3.9347231810149774E-4</v>
      </c>
      <c r="J565" s="291"/>
      <c r="K565" s="291"/>
      <c r="L565" s="291"/>
      <c r="M565" s="291"/>
      <c r="N565" s="291"/>
      <c r="O565" s="291"/>
      <c r="P565" s="291"/>
      <c r="Q565" s="291"/>
      <c r="R565" s="306">
        <v>0</v>
      </c>
      <c r="S565" s="291">
        <f t="shared" si="149"/>
        <v>0</v>
      </c>
      <c r="T565" s="327">
        <f t="shared" si="136"/>
        <v>45</v>
      </c>
      <c r="U565" s="334">
        <f t="shared" si="137"/>
        <v>16104.15</v>
      </c>
    </row>
    <row r="566" spans="1:21">
      <c r="A566" s="336"/>
      <c r="B566" s="293"/>
      <c r="C566" s="293"/>
      <c r="D566" s="294" t="s">
        <v>2593</v>
      </c>
      <c r="E566" s="293"/>
      <c r="F566" s="316"/>
      <c r="G566" s="295">
        <v>0</v>
      </c>
      <c r="H566" s="296">
        <f>SUM(H563:H565)</f>
        <v>23507.739999999998</v>
      </c>
      <c r="I566" s="310">
        <f t="shared" si="135"/>
        <v>5.7436405840279069E-4</v>
      </c>
      <c r="J566" s="296"/>
      <c r="K566" s="296"/>
      <c r="L566" s="296"/>
      <c r="M566" s="296"/>
      <c r="N566" s="296"/>
      <c r="O566" s="296"/>
      <c r="P566" s="296"/>
      <c r="Q566" s="296"/>
      <c r="R566" s="307">
        <v>0</v>
      </c>
      <c r="S566" s="296">
        <f>SUM(S563:S565)</f>
        <v>0</v>
      </c>
      <c r="T566" s="329"/>
      <c r="U566" s="337">
        <f t="shared" ref="U566" si="150">SUM(U563:U565)</f>
        <v>23507.739999999998</v>
      </c>
    </row>
    <row r="567" spans="1:21">
      <c r="A567" s="331" t="s">
        <v>3858</v>
      </c>
      <c r="B567" s="351" t="s">
        <v>1530</v>
      </c>
      <c r="C567" s="351" t="s">
        <v>1530</v>
      </c>
      <c r="D567" s="351" t="s">
        <v>1530</v>
      </c>
      <c r="E567" s="351" t="s">
        <v>1530</v>
      </c>
      <c r="F567" s="351" t="s">
        <v>1530</v>
      </c>
      <c r="G567" s="288"/>
      <c r="H567" s="288"/>
      <c r="I567" s="311"/>
      <c r="J567" s="288"/>
      <c r="K567" s="288"/>
      <c r="L567" s="288"/>
      <c r="M567" s="288"/>
      <c r="N567" s="288"/>
      <c r="O567" s="288"/>
      <c r="P567" s="288"/>
      <c r="Q567" s="288"/>
      <c r="R567" s="305"/>
      <c r="S567" s="288"/>
      <c r="T567" s="326"/>
      <c r="U567" s="338"/>
    </row>
    <row r="568" spans="1:21" ht="60">
      <c r="A568" s="333" t="s">
        <v>3859</v>
      </c>
      <c r="B568" s="87" t="s">
        <v>1810</v>
      </c>
      <c r="C568" s="87" t="s">
        <v>3191</v>
      </c>
      <c r="D568" s="290" t="s">
        <v>3192</v>
      </c>
      <c r="E568" s="87" t="s">
        <v>48</v>
      </c>
      <c r="F568" s="284">
        <v>10</v>
      </c>
      <c r="G568" s="291">
        <v>570.6</v>
      </c>
      <c r="H568" s="291">
        <f>ROUND((G568*F568),2)</f>
        <v>5706</v>
      </c>
      <c r="I568" s="309">
        <f t="shared" si="135"/>
        <v>1.3941456376692629E-4</v>
      </c>
      <c r="J568" s="291"/>
      <c r="K568" s="291"/>
      <c r="L568" s="291"/>
      <c r="M568" s="291"/>
      <c r="N568" s="291"/>
      <c r="O568" s="291"/>
      <c r="P568" s="291"/>
      <c r="Q568" s="291"/>
      <c r="R568" s="306">
        <v>0</v>
      </c>
      <c r="S568" s="291">
        <f t="shared" ref="S568:S569" si="151">ROUND((R568*P568),2)</f>
        <v>0</v>
      </c>
      <c r="T568" s="327">
        <f t="shared" si="136"/>
        <v>10</v>
      </c>
      <c r="U568" s="334">
        <f t="shared" si="137"/>
        <v>5706</v>
      </c>
    </row>
    <row r="569" spans="1:21" ht="30">
      <c r="A569" s="333" t="s">
        <v>3860</v>
      </c>
      <c r="B569" s="87" t="s">
        <v>1810</v>
      </c>
      <c r="C569" s="87" t="s">
        <v>3193</v>
      </c>
      <c r="D569" s="290" t="s">
        <v>3194</v>
      </c>
      <c r="E569" s="87" t="s">
        <v>48</v>
      </c>
      <c r="F569" s="284">
        <v>20</v>
      </c>
      <c r="G569" s="291">
        <v>3357.88</v>
      </c>
      <c r="H569" s="291">
        <f>ROUND((G569*F569),2)</f>
        <v>67157.600000000006</v>
      </c>
      <c r="I569" s="309">
        <f t="shared" si="135"/>
        <v>1.6408600609242429E-3</v>
      </c>
      <c r="J569" s="291"/>
      <c r="K569" s="291"/>
      <c r="L569" s="291"/>
      <c r="M569" s="291"/>
      <c r="N569" s="291"/>
      <c r="O569" s="291"/>
      <c r="P569" s="291"/>
      <c r="Q569" s="291"/>
      <c r="R569" s="306">
        <v>0</v>
      </c>
      <c r="S569" s="291">
        <f t="shared" si="151"/>
        <v>0</v>
      </c>
      <c r="T569" s="327">
        <f t="shared" si="136"/>
        <v>20</v>
      </c>
      <c r="U569" s="334">
        <f t="shared" si="137"/>
        <v>67157.600000000006</v>
      </c>
    </row>
    <row r="570" spans="1:21" ht="60">
      <c r="A570" s="333" t="s">
        <v>3861</v>
      </c>
      <c r="B570" s="87" t="s">
        <v>1810</v>
      </c>
      <c r="C570" s="87" t="s">
        <v>3195</v>
      </c>
      <c r="D570" s="290" t="s">
        <v>3196</v>
      </c>
      <c r="E570" s="87" t="s">
        <v>48</v>
      </c>
      <c r="F570" s="284">
        <v>1</v>
      </c>
      <c r="G570" s="291">
        <v>407.43</v>
      </c>
      <c r="H570" s="291">
        <f>G570*F570</f>
        <v>407.43</v>
      </c>
      <c r="I570" s="309">
        <f t="shared" si="135"/>
        <v>9.9547276052503997E-6</v>
      </c>
      <c r="J570" s="291"/>
      <c r="K570" s="291"/>
      <c r="L570" s="291"/>
      <c r="M570" s="291"/>
      <c r="N570" s="291"/>
      <c r="O570" s="291"/>
      <c r="P570" s="291"/>
      <c r="Q570" s="291"/>
      <c r="R570" s="306">
        <v>0</v>
      </c>
      <c r="S570" s="291">
        <f t="shared" ref="S570" si="152">R570*P570</f>
        <v>0</v>
      </c>
      <c r="T570" s="327">
        <f t="shared" si="136"/>
        <v>1</v>
      </c>
      <c r="U570" s="334">
        <f t="shared" si="137"/>
        <v>407.43</v>
      </c>
    </row>
    <row r="571" spans="1:21">
      <c r="A571" s="336"/>
      <c r="B571" s="293"/>
      <c r="C571" s="293"/>
      <c r="D571" s="294" t="s">
        <v>2593</v>
      </c>
      <c r="E571" s="293"/>
      <c r="F571" s="316"/>
      <c r="G571" s="295">
        <v>0</v>
      </c>
      <c r="H571" s="296">
        <f>SUM(H568:H570)</f>
        <v>73271.03</v>
      </c>
      <c r="I571" s="310">
        <f t="shared" si="135"/>
        <v>1.7902293522964196E-3</v>
      </c>
      <c r="J571" s="296"/>
      <c r="K571" s="296"/>
      <c r="L571" s="296"/>
      <c r="M571" s="296"/>
      <c r="N571" s="296"/>
      <c r="O571" s="296"/>
      <c r="P571" s="296"/>
      <c r="Q571" s="296"/>
      <c r="R571" s="307">
        <v>0</v>
      </c>
      <c r="S571" s="296">
        <f>SUM(S568:S570)</f>
        <v>0</v>
      </c>
      <c r="T571" s="329"/>
      <c r="U571" s="337">
        <f t="shared" ref="U571" si="153">SUM(U568:U570)</f>
        <v>73271.03</v>
      </c>
    </row>
    <row r="572" spans="1:21">
      <c r="A572" s="331" t="s">
        <v>3862</v>
      </c>
      <c r="B572" s="351" t="s">
        <v>1557</v>
      </c>
      <c r="C572" s="351" t="s">
        <v>1557</v>
      </c>
      <c r="D572" s="351" t="s">
        <v>1557</v>
      </c>
      <c r="E572" s="351" t="s">
        <v>1557</v>
      </c>
      <c r="F572" s="351" t="s">
        <v>1557</v>
      </c>
      <c r="G572" s="288"/>
      <c r="H572" s="288"/>
      <c r="I572" s="311"/>
      <c r="J572" s="288"/>
      <c r="K572" s="288"/>
      <c r="L572" s="288"/>
      <c r="M572" s="288"/>
      <c r="N572" s="288"/>
      <c r="O572" s="288"/>
      <c r="P572" s="288"/>
      <c r="Q572" s="288"/>
      <c r="R572" s="305"/>
      <c r="S572" s="288"/>
      <c r="T572" s="326"/>
      <c r="U572" s="338"/>
    </row>
    <row r="573" spans="1:21" ht="45">
      <c r="A573" s="333" t="s">
        <v>3863</v>
      </c>
      <c r="B573" s="87" t="s">
        <v>1810</v>
      </c>
      <c r="C573" s="87" t="s">
        <v>3197</v>
      </c>
      <c r="D573" s="290" t="s">
        <v>3198</v>
      </c>
      <c r="E573" s="87" t="s">
        <v>48</v>
      </c>
      <c r="F573" s="284">
        <v>22</v>
      </c>
      <c r="G573" s="291">
        <v>180.47</v>
      </c>
      <c r="H573" s="291">
        <f>ROUND((G573*F573),2)</f>
        <v>3970.34</v>
      </c>
      <c r="I573" s="309">
        <f t="shared" si="135"/>
        <v>9.7007223818152503E-5</v>
      </c>
      <c r="J573" s="291"/>
      <c r="K573" s="291"/>
      <c r="L573" s="291"/>
      <c r="M573" s="291"/>
      <c r="N573" s="291"/>
      <c r="O573" s="291"/>
      <c r="P573" s="291"/>
      <c r="Q573" s="291"/>
      <c r="R573" s="306">
        <v>0</v>
      </c>
      <c r="S573" s="291">
        <f t="shared" ref="S573:S576" si="154">ROUND((R573*P573),2)</f>
        <v>0</v>
      </c>
      <c r="T573" s="327">
        <f t="shared" si="136"/>
        <v>22</v>
      </c>
      <c r="U573" s="334">
        <f t="shared" si="137"/>
        <v>3970.34</v>
      </c>
    </row>
    <row r="574" spans="1:21" ht="45">
      <c r="A574" s="333" t="s">
        <v>3864</v>
      </c>
      <c r="B574" s="87" t="s">
        <v>1810</v>
      </c>
      <c r="C574" s="87" t="s">
        <v>3199</v>
      </c>
      <c r="D574" s="290" t="s">
        <v>3200</v>
      </c>
      <c r="E574" s="87" t="s">
        <v>48</v>
      </c>
      <c r="F574" s="284">
        <v>23</v>
      </c>
      <c r="G574" s="291">
        <v>191.37</v>
      </c>
      <c r="H574" s="291">
        <f>ROUND((G574*F574),2)</f>
        <v>4401.51</v>
      </c>
      <c r="I574" s="309">
        <f t="shared" si="135"/>
        <v>1.0754199028492181E-4</v>
      </c>
      <c r="J574" s="291"/>
      <c r="K574" s="291"/>
      <c r="L574" s="291"/>
      <c r="M574" s="291"/>
      <c r="N574" s="291"/>
      <c r="O574" s="291"/>
      <c r="P574" s="291"/>
      <c r="Q574" s="291"/>
      <c r="R574" s="306"/>
      <c r="S574" s="291">
        <f t="shared" si="154"/>
        <v>0</v>
      </c>
      <c r="T574" s="327">
        <f t="shared" si="136"/>
        <v>23</v>
      </c>
      <c r="U574" s="334">
        <f t="shared" si="137"/>
        <v>4401.51</v>
      </c>
    </row>
    <row r="575" spans="1:21" ht="45">
      <c r="A575" s="333" t="s">
        <v>3865</v>
      </c>
      <c r="B575" s="87" t="s">
        <v>1810</v>
      </c>
      <c r="C575" s="87" t="s">
        <v>3201</v>
      </c>
      <c r="D575" s="290" t="s">
        <v>3202</v>
      </c>
      <c r="E575" s="87" t="s">
        <v>48</v>
      </c>
      <c r="F575" s="284">
        <v>4</v>
      </c>
      <c r="G575" s="291">
        <v>147.56</v>
      </c>
      <c r="H575" s="291">
        <f>ROUND((G575*F575),2)</f>
        <v>590.24</v>
      </c>
      <c r="I575" s="309">
        <f t="shared" si="135"/>
        <v>1.4421320034663614E-5</v>
      </c>
      <c r="J575" s="291"/>
      <c r="K575" s="291"/>
      <c r="L575" s="291"/>
      <c r="M575" s="291"/>
      <c r="N575" s="291"/>
      <c r="O575" s="291"/>
      <c r="P575" s="291"/>
      <c r="Q575" s="291"/>
      <c r="R575" s="306"/>
      <c r="S575" s="291">
        <f t="shared" si="154"/>
        <v>0</v>
      </c>
      <c r="T575" s="327">
        <f t="shared" si="136"/>
        <v>4</v>
      </c>
      <c r="U575" s="334">
        <f t="shared" si="137"/>
        <v>590.24</v>
      </c>
    </row>
    <row r="576" spans="1:21" ht="30">
      <c r="A576" s="333" t="s">
        <v>3866</v>
      </c>
      <c r="B576" s="87" t="s">
        <v>2649</v>
      </c>
      <c r="C576" s="87" t="s">
        <v>3203</v>
      </c>
      <c r="D576" s="292" t="s">
        <v>3204</v>
      </c>
      <c r="E576" s="87" t="s">
        <v>48</v>
      </c>
      <c r="F576" s="284">
        <v>1</v>
      </c>
      <c r="G576" s="291">
        <v>490.86</v>
      </c>
      <c r="H576" s="291">
        <f>ROUND((G576*F576),2)</f>
        <v>490.86</v>
      </c>
      <c r="I576" s="309">
        <f t="shared" si="135"/>
        <v>1.1993170832568076E-5</v>
      </c>
      <c r="J576" s="291"/>
      <c r="K576" s="291"/>
      <c r="L576" s="291"/>
      <c r="M576" s="291"/>
      <c r="N576" s="291"/>
      <c r="O576" s="291"/>
      <c r="P576" s="291"/>
      <c r="Q576" s="291"/>
      <c r="R576" s="306">
        <v>0</v>
      </c>
      <c r="S576" s="291">
        <f t="shared" si="154"/>
        <v>0</v>
      </c>
      <c r="T576" s="327">
        <f t="shared" si="136"/>
        <v>1</v>
      </c>
      <c r="U576" s="334">
        <f t="shared" si="137"/>
        <v>490.86</v>
      </c>
    </row>
    <row r="577" spans="1:21">
      <c r="A577" s="336"/>
      <c r="B577" s="293"/>
      <c r="C577" s="293"/>
      <c r="D577" s="294" t="s">
        <v>2593</v>
      </c>
      <c r="E577" s="293"/>
      <c r="F577" s="316"/>
      <c r="G577" s="295">
        <v>0</v>
      </c>
      <c r="H577" s="296">
        <f>SUM(H573:H576)</f>
        <v>9452.9500000000007</v>
      </c>
      <c r="I577" s="310">
        <f t="shared" si="135"/>
        <v>2.30963704970306E-4</v>
      </c>
      <c r="J577" s="296"/>
      <c r="K577" s="296"/>
      <c r="L577" s="296"/>
      <c r="M577" s="296"/>
      <c r="N577" s="296"/>
      <c r="O577" s="296"/>
      <c r="P577" s="296"/>
      <c r="Q577" s="296"/>
      <c r="R577" s="307">
        <v>0</v>
      </c>
      <c r="S577" s="296">
        <f>SUM(S573:S576)</f>
        <v>0</v>
      </c>
      <c r="T577" s="329"/>
      <c r="U577" s="337">
        <f t="shared" ref="U577" si="155">SUM(U573:U576)</f>
        <v>9452.9500000000007</v>
      </c>
    </row>
    <row r="578" spans="1:21">
      <c r="A578" s="331">
        <v>18</v>
      </c>
      <c r="B578" s="351" t="s">
        <v>1577</v>
      </c>
      <c r="C578" s="351" t="s">
        <v>1577</v>
      </c>
      <c r="D578" s="351" t="s">
        <v>1577</v>
      </c>
      <c r="E578" s="351" t="s">
        <v>1577</v>
      </c>
      <c r="F578" s="351" t="s">
        <v>1577</v>
      </c>
      <c r="G578" s="288"/>
      <c r="H578" s="288"/>
      <c r="I578" s="311"/>
      <c r="J578" s="288"/>
      <c r="K578" s="288"/>
      <c r="L578" s="288"/>
      <c r="M578" s="288"/>
      <c r="N578" s="288"/>
      <c r="O578" s="288"/>
      <c r="P578" s="288"/>
      <c r="Q578" s="288"/>
      <c r="R578" s="305"/>
      <c r="S578" s="288"/>
      <c r="T578" s="326"/>
      <c r="U578" s="338"/>
    </row>
    <row r="579" spans="1:21">
      <c r="A579" s="331" t="s">
        <v>3867</v>
      </c>
      <c r="B579" s="351" t="s">
        <v>3205</v>
      </c>
      <c r="C579" s="351" t="s">
        <v>3205</v>
      </c>
      <c r="D579" s="351" t="s">
        <v>3205</v>
      </c>
      <c r="E579" s="351" t="s">
        <v>3205</v>
      </c>
      <c r="F579" s="351" t="s">
        <v>3205</v>
      </c>
      <c r="G579" s="288"/>
      <c r="H579" s="288"/>
      <c r="I579" s="311"/>
      <c r="J579" s="288"/>
      <c r="K579" s="288"/>
      <c r="L579" s="288"/>
      <c r="M579" s="288"/>
      <c r="N579" s="288"/>
      <c r="O579" s="288"/>
      <c r="P579" s="288"/>
      <c r="Q579" s="288"/>
      <c r="R579" s="305"/>
      <c r="S579" s="288"/>
      <c r="T579" s="326"/>
      <c r="U579" s="338"/>
    </row>
    <row r="580" spans="1:21" ht="60">
      <c r="A580" s="333" t="s">
        <v>3868</v>
      </c>
      <c r="B580" s="87" t="s">
        <v>1810</v>
      </c>
      <c r="C580" s="87" t="s">
        <v>2941</v>
      </c>
      <c r="D580" s="290" t="s">
        <v>3206</v>
      </c>
      <c r="E580" s="87" t="s">
        <v>48</v>
      </c>
      <c r="F580" s="284">
        <v>216</v>
      </c>
      <c r="G580" s="291">
        <v>283.12</v>
      </c>
      <c r="H580" s="291">
        <f t="shared" ref="H580:H590" si="156">ROUND((G580*F580),2)</f>
        <v>61153.919999999998</v>
      </c>
      <c r="I580" s="309">
        <f t="shared" si="135"/>
        <v>1.4941722887202085E-3</v>
      </c>
      <c r="J580" s="291"/>
      <c r="K580" s="291"/>
      <c r="L580" s="291"/>
      <c r="M580" s="291"/>
      <c r="N580" s="291"/>
      <c r="O580" s="291"/>
      <c r="P580" s="291"/>
      <c r="Q580" s="291"/>
      <c r="R580" s="306">
        <v>0</v>
      </c>
      <c r="S580" s="291">
        <f t="shared" ref="S580:S604" si="157">ROUND((R580*P580),2)</f>
        <v>0</v>
      </c>
      <c r="T580" s="327">
        <f t="shared" si="136"/>
        <v>216</v>
      </c>
      <c r="U580" s="334">
        <f t="shared" si="137"/>
        <v>61153.919999999998</v>
      </c>
    </row>
    <row r="581" spans="1:21" ht="60">
      <c r="A581" s="333" t="s">
        <v>3869</v>
      </c>
      <c r="B581" s="87" t="s">
        <v>1810</v>
      </c>
      <c r="C581" s="87" t="s">
        <v>2941</v>
      </c>
      <c r="D581" s="290" t="s">
        <v>3207</v>
      </c>
      <c r="E581" s="87" t="s">
        <v>48</v>
      </c>
      <c r="F581" s="284">
        <v>116</v>
      </c>
      <c r="G581" s="291">
        <v>283.12</v>
      </c>
      <c r="H581" s="291">
        <f t="shared" si="156"/>
        <v>32841.919999999998</v>
      </c>
      <c r="I581" s="309">
        <f t="shared" si="135"/>
        <v>8.02425858757149E-4</v>
      </c>
      <c r="J581" s="291"/>
      <c r="K581" s="291"/>
      <c r="L581" s="291"/>
      <c r="M581" s="291"/>
      <c r="N581" s="291"/>
      <c r="O581" s="291"/>
      <c r="P581" s="291"/>
      <c r="Q581" s="291"/>
      <c r="R581" s="306">
        <v>0</v>
      </c>
      <c r="S581" s="291">
        <f t="shared" si="157"/>
        <v>0</v>
      </c>
      <c r="T581" s="327">
        <f t="shared" si="136"/>
        <v>116</v>
      </c>
      <c r="U581" s="334">
        <f t="shared" si="137"/>
        <v>32841.919999999998</v>
      </c>
    </row>
    <row r="582" spans="1:21" ht="60">
      <c r="A582" s="333" t="s">
        <v>3870</v>
      </c>
      <c r="B582" s="87" t="s">
        <v>1810</v>
      </c>
      <c r="C582" s="87" t="s">
        <v>2944</v>
      </c>
      <c r="D582" s="290" t="s">
        <v>3208</v>
      </c>
      <c r="E582" s="87" t="s">
        <v>48</v>
      </c>
      <c r="F582" s="284">
        <v>100</v>
      </c>
      <c r="G582" s="291">
        <v>251.75</v>
      </c>
      <c r="H582" s="291">
        <f t="shared" si="156"/>
        <v>25175</v>
      </c>
      <c r="I582" s="309">
        <f t="shared" si="135"/>
        <v>6.1510018276066765E-4</v>
      </c>
      <c r="J582" s="291"/>
      <c r="K582" s="291"/>
      <c r="L582" s="291"/>
      <c r="M582" s="291"/>
      <c r="N582" s="291"/>
      <c r="O582" s="291"/>
      <c r="P582" s="291"/>
      <c r="Q582" s="291"/>
      <c r="R582" s="306">
        <v>0</v>
      </c>
      <c r="S582" s="291">
        <f t="shared" si="157"/>
        <v>0</v>
      </c>
      <c r="T582" s="327">
        <f t="shared" si="136"/>
        <v>100</v>
      </c>
      <c r="U582" s="334">
        <f t="shared" si="137"/>
        <v>25175</v>
      </c>
    </row>
    <row r="583" spans="1:21">
      <c r="A583" s="333" t="s">
        <v>3871</v>
      </c>
      <c r="B583" s="87" t="s">
        <v>1810</v>
      </c>
      <c r="C583" s="87" t="s">
        <v>3209</v>
      </c>
      <c r="D583" s="290" t="s">
        <v>3210</v>
      </c>
      <c r="E583" s="87" t="s">
        <v>48</v>
      </c>
      <c r="F583" s="284">
        <v>36</v>
      </c>
      <c r="G583" s="291">
        <v>63.22</v>
      </c>
      <c r="H583" s="291">
        <f t="shared" si="156"/>
        <v>2275.92</v>
      </c>
      <c r="I583" s="309">
        <f t="shared" si="135"/>
        <v>5.5607499819211869E-5</v>
      </c>
      <c r="J583" s="291"/>
      <c r="K583" s="291"/>
      <c r="L583" s="291"/>
      <c r="M583" s="291"/>
      <c r="N583" s="291"/>
      <c r="O583" s="291"/>
      <c r="P583" s="291"/>
      <c r="Q583" s="291"/>
      <c r="R583" s="306">
        <v>0</v>
      </c>
      <c r="S583" s="291">
        <f t="shared" si="157"/>
        <v>0</v>
      </c>
      <c r="T583" s="327">
        <f t="shared" si="136"/>
        <v>36</v>
      </c>
      <c r="U583" s="334">
        <f t="shared" si="137"/>
        <v>2275.92</v>
      </c>
    </row>
    <row r="584" spans="1:21" ht="45">
      <c r="A584" s="333" t="s">
        <v>3872</v>
      </c>
      <c r="B584" s="87" t="s">
        <v>1810</v>
      </c>
      <c r="C584" s="87">
        <v>180201</v>
      </c>
      <c r="D584" s="290" t="s">
        <v>3211</v>
      </c>
      <c r="E584" s="87" t="s">
        <v>48</v>
      </c>
      <c r="F584" s="284">
        <v>185</v>
      </c>
      <c r="G584" s="291">
        <v>45.36</v>
      </c>
      <c r="H584" s="291">
        <f t="shared" si="156"/>
        <v>8391.6</v>
      </c>
      <c r="I584" s="309">
        <f t="shared" si="135"/>
        <v>2.0503176538845755E-4</v>
      </c>
      <c r="J584" s="291"/>
      <c r="K584" s="291"/>
      <c r="L584" s="291"/>
      <c r="M584" s="291"/>
      <c r="N584" s="291"/>
      <c r="O584" s="291"/>
      <c r="P584" s="291"/>
      <c r="Q584" s="291"/>
      <c r="R584" s="306">
        <v>0</v>
      </c>
      <c r="S584" s="291">
        <f t="shared" si="157"/>
        <v>0</v>
      </c>
      <c r="T584" s="327">
        <f t="shared" si="136"/>
        <v>185</v>
      </c>
      <c r="U584" s="334">
        <f t="shared" si="137"/>
        <v>8391.6</v>
      </c>
    </row>
    <row r="585" spans="1:21" ht="45">
      <c r="A585" s="333" t="s">
        <v>3873</v>
      </c>
      <c r="B585" s="87" t="s">
        <v>1810</v>
      </c>
      <c r="C585" s="87">
        <v>180202</v>
      </c>
      <c r="D585" s="290" t="s">
        <v>3212</v>
      </c>
      <c r="E585" s="87" t="s">
        <v>48</v>
      </c>
      <c r="F585" s="284">
        <v>37</v>
      </c>
      <c r="G585" s="291">
        <v>52.63</v>
      </c>
      <c r="H585" s="291">
        <f t="shared" si="156"/>
        <v>1947.31</v>
      </c>
      <c r="I585" s="309">
        <f t="shared" si="135"/>
        <v>4.7578579419728923E-5</v>
      </c>
      <c r="J585" s="291"/>
      <c r="K585" s="291"/>
      <c r="L585" s="291"/>
      <c r="M585" s="291"/>
      <c r="N585" s="291"/>
      <c r="O585" s="291"/>
      <c r="P585" s="291"/>
      <c r="Q585" s="291"/>
      <c r="R585" s="306">
        <v>0</v>
      </c>
      <c r="S585" s="291">
        <f t="shared" si="157"/>
        <v>0</v>
      </c>
      <c r="T585" s="327">
        <f t="shared" si="136"/>
        <v>37</v>
      </c>
      <c r="U585" s="334">
        <f t="shared" si="137"/>
        <v>1947.3100000000002</v>
      </c>
    </row>
    <row r="586" spans="1:21">
      <c r="A586" s="333" t="s">
        <v>3874</v>
      </c>
      <c r="B586" s="87" t="s">
        <v>3002</v>
      </c>
      <c r="C586" s="87" t="s">
        <v>3213</v>
      </c>
      <c r="D586" s="290" t="s">
        <v>3214</v>
      </c>
      <c r="E586" s="87" t="s">
        <v>48</v>
      </c>
      <c r="F586" s="284">
        <v>37</v>
      </c>
      <c r="G586" s="291">
        <v>126.51</v>
      </c>
      <c r="H586" s="291">
        <f t="shared" si="156"/>
        <v>4680.87</v>
      </c>
      <c r="I586" s="309">
        <f t="shared" si="135"/>
        <v>1.1436758659300601E-4</v>
      </c>
      <c r="J586" s="291"/>
      <c r="K586" s="291"/>
      <c r="L586" s="291"/>
      <c r="M586" s="291"/>
      <c r="N586" s="291"/>
      <c r="O586" s="291"/>
      <c r="P586" s="291"/>
      <c r="Q586" s="291"/>
      <c r="R586" s="306">
        <v>0</v>
      </c>
      <c r="S586" s="291">
        <f t="shared" si="157"/>
        <v>0</v>
      </c>
      <c r="T586" s="327">
        <f t="shared" si="136"/>
        <v>37</v>
      </c>
      <c r="U586" s="334">
        <f t="shared" si="137"/>
        <v>4680.87</v>
      </c>
    </row>
    <row r="587" spans="1:21">
      <c r="A587" s="333" t="s">
        <v>3875</v>
      </c>
      <c r="B587" s="87" t="s">
        <v>3002</v>
      </c>
      <c r="C587" s="87" t="s">
        <v>3213</v>
      </c>
      <c r="D587" s="290" t="s">
        <v>3215</v>
      </c>
      <c r="E587" s="87" t="s">
        <v>48</v>
      </c>
      <c r="F587" s="284">
        <v>2</v>
      </c>
      <c r="G587" s="291">
        <v>126.51</v>
      </c>
      <c r="H587" s="291">
        <f t="shared" si="156"/>
        <v>253.02</v>
      </c>
      <c r="I587" s="309">
        <f t="shared" si="135"/>
        <v>6.1820317077300554E-6</v>
      </c>
      <c r="J587" s="291"/>
      <c r="K587" s="291"/>
      <c r="L587" s="291"/>
      <c r="M587" s="291"/>
      <c r="N587" s="291"/>
      <c r="O587" s="291"/>
      <c r="P587" s="291"/>
      <c r="Q587" s="291"/>
      <c r="R587" s="306">
        <v>0</v>
      </c>
      <c r="S587" s="291">
        <f t="shared" si="157"/>
        <v>0</v>
      </c>
      <c r="T587" s="327">
        <f t="shared" si="136"/>
        <v>2</v>
      </c>
      <c r="U587" s="334">
        <f t="shared" si="137"/>
        <v>253.02</v>
      </c>
    </row>
    <row r="588" spans="1:21">
      <c r="A588" s="333" t="s">
        <v>3876</v>
      </c>
      <c r="B588" s="87" t="s">
        <v>3002</v>
      </c>
      <c r="C588" s="87" t="s">
        <v>3213</v>
      </c>
      <c r="D588" s="290" t="s">
        <v>3216</v>
      </c>
      <c r="E588" s="87" t="s">
        <v>48</v>
      </c>
      <c r="F588" s="284">
        <v>7</v>
      </c>
      <c r="G588" s="291">
        <v>126.51</v>
      </c>
      <c r="H588" s="291">
        <f t="shared" si="156"/>
        <v>885.57</v>
      </c>
      <c r="I588" s="309">
        <f t="shared" ref="I588:I649" si="158">H588/$H$741</f>
        <v>2.1637110977055192E-5</v>
      </c>
      <c r="J588" s="291"/>
      <c r="K588" s="291"/>
      <c r="L588" s="291"/>
      <c r="M588" s="291"/>
      <c r="N588" s="291"/>
      <c r="O588" s="291"/>
      <c r="P588" s="291"/>
      <c r="Q588" s="291"/>
      <c r="R588" s="306">
        <v>0</v>
      </c>
      <c r="S588" s="291">
        <f t="shared" si="157"/>
        <v>0</v>
      </c>
      <c r="T588" s="327">
        <f t="shared" ref="T588:T648" si="159">F588-R588</f>
        <v>7</v>
      </c>
      <c r="U588" s="334">
        <f t="shared" ref="U588:U648" si="160">T588*G588</f>
        <v>885.57</v>
      </c>
    </row>
    <row r="589" spans="1:21">
      <c r="A589" s="333" t="s">
        <v>3877</v>
      </c>
      <c r="B589" s="87" t="s">
        <v>3002</v>
      </c>
      <c r="C589" s="87" t="s">
        <v>3213</v>
      </c>
      <c r="D589" s="290" t="s">
        <v>3217</v>
      </c>
      <c r="E589" s="87" t="s">
        <v>48</v>
      </c>
      <c r="F589" s="284">
        <v>5</v>
      </c>
      <c r="G589" s="291">
        <v>126.51</v>
      </c>
      <c r="H589" s="291">
        <f t="shared" si="156"/>
        <v>632.54999999999995</v>
      </c>
      <c r="I589" s="309">
        <f t="shared" si="158"/>
        <v>1.5455079269325137E-5</v>
      </c>
      <c r="J589" s="291"/>
      <c r="K589" s="291"/>
      <c r="L589" s="291"/>
      <c r="M589" s="291"/>
      <c r="N589" s="291"/>
      <c r="O589" s="291"/>
      <c r="P589" s="291"/>
      <c r="Q589" s="291"/>
      <c r="R589" s="306">
        <v>0</v>
      </c>
      <c r="S589" s="291">
        <f t="shared" si="157"/>
        <v>0</v>
      </c>
      <c r="T589" s="327">
        <f t="shared" si="159"/>
        <v>5</v>
      </c>
      <c r="U589" s="334">
        <f t="shared" si="160"/>
        <v>632.55000000000007</v>
      </c>
    </row>
    <row r="590" spans="1:21">
      <c r="A590" s="333" t="s">
        <v>3878</v>
      </c>
      <c r="B590" s="87" t="s">
        <v>3002</v>
      </c>
      <c r="C590" s="87" t="s">
        <v>3213</v>
      </c>
      <c r="D590" s="290" t="s">
        <v>3218</v>
      </c>
      <c r="E590" s="87" t="s">
        <v>48</v>
      </c>
      <c r="F590" s="284">
        <v>3</v>
      </c>
      <c r="G590" s="291">
        <v>126.51</v>
      </c>
      <c r="H590" s="291">
        <f t="shared" si="156"/>
        <v>379.53</v>
      </c>
      <c r="I590" s="309">
        <f t="shared" si="158"/>
        <v>9.2730475615950813E-6</v>
      </c>
      <c r="J590" s="291"/>
      <c r="K590" s="291"/>
      <c r="L590" s="291"/>
      <c r="M590" s="291"/>
      <c r="N590" s="291"/>
      <c r="O590" s="291"/>
      <c r="P590" s="291"/>
      <c r="Q590" s="291"/>
      <c r="R590" s="306">
        <v>0</v>
      </c>
      <c r="S590" s="291">
        <f t="shared" si="157"/>
        <v>0</v>
      </c>
      <c r="T590" s="327">
        <f t="shared" si="159"/>
        <v>3</v>
      </c>
      <c r="U590" s="334">
        <f t="shared" si="160"/>
        <v>379.53000000000003</v>
      </c>
    </row>
    <row r="591" spans="1:21">
      <c r="A591" s="336"/>
      <c r="B591" s="293"/>
      <c r="C591" s="293"/>
      <c r="D591" s="294" t="s">
        <v>2593</v>
      </c>
      <c r="E591" s="293"/>
      <c r="F591" s="316"/>
      <c r="G591" s="295">
        <v>0</v>
      </c>
      <c r="H591" s="296">
        <f>SUM(H580:H590)</f>
        <v>138617.21</v>
      </c>
      <c r="I591" s="310">
        <f t="shared" si="158"/>
        <v>3.3868310309741346E-3</v>
      </c>
      <c r="J591" s="296"/>
      <c r="K591" s="296"/>
      <c r="L591" s="296"/>
      <c r="M591" s="296"/>
      <c r="N591" s="296"/>
      <c r="O591" s="296"/>
      <c r="P591" s="296"/>
      <c r="Q591" s="296"/>
      <c r="R591" s="307"/>
      <c r="S591" s="296">
        <f>SUM(S580:S590)</f>
        <v>0</v>
      </c>
      <c r="T591" s="329"/>
      <c r="U591" s="337">
        <f t="shared" ref="U591" si="161">SUM(U580:U590)</f>
        <v>138617.21</v>
      </c>
    </row>
    <row r="592" spans="1:21">
      <c r="A592" s="331" t="s">
        <v>3879</v>
      </c>
      <c r="B592" s="351" t="s">
        <v>3219</v>
      </c>
      <c r="C592" s="351" t="s">
        <v>3219</v>
      </c>
      <c r="D592" s="351" t="s">
        <v>3219</v>
      </c>
      <c r="E592" s="351" t="s">
        <v>3219</v>
      </c>
      <c r="F592" s="351" t="s">
        <v>3219</v>
      </c>
      <c r="G592" s="288"/>
      <c r="H592" s="288"/>
      <c r="I592" s="311"/>
      <c r="J592" s="288"/>
      <c r="K592" s="288"/>
      <c r="L592" s="288"/>
      <c r="M592" s="288"/>
      <c r="N592" s="288"/>
      <c r="O592" s="288"/>
      <c r="P592" s="288"/>
      <c r="Q592" s="288"/>
      <c r="R592" s="305"/>
      <c r="S592" s="288"/>
      <c r="T592" s="326"/>
      <c r="U592" s="338"/>
    </row>
    <row r="593" spans="1:21" ht="30">
      <c r="A593" s="333" t="s">
        <v>3880</v>
      </c>
      <c r="B593" s="87" t="s">
        <v>1810</v>
      </c>
      <c r="C593" s="87">
        <v>180301</v>
      </c>
      <c r="D593" s="290" t="s">
        <v>2837</v>
      </c>
      <c r="E593" s="87" t="s">
        <v>48</v>
      </c>
      <c r="F593" s="284">
        <v>4</v>
      </c>
      <c r="G593" s="291">
        <v>5371.39</v>
      </c>
      <c r="H593" s="291">
        <f>ROUND((G593*F593),2)</f>
        <v>21485.56</v>
      </c>
      <c r="I593" s="309">
        <f t="shared" si="158"/>
        <v>5.2495618203437101E-4</v>
      </c>
      <c r="J593" s="291"/>
      <c r="K593" s="291"/>
      <c r="L593" s="291"/>
      <c r="M593" s="291"/>
      <c r="N593" s="291"/>
      <c r="O593" s="291"/>
      <c r="P593" s="291"/>
      <c r="Q593" s="291"/>
      <c r="R593" s="306">
        <v>0</v>
      </c>
      <c r="S593" s="291">
        <f t="shared" si="157"/>
        <v>0</v>
      </c>
      <c r="T593" s="327">
        <f t="shared" si="159"/>
        <v>4</v>
      </c>
      <c r="U593" s="334">
        <f t="shared" si="160"/>
        <v>21485.56</v>
      </c>
    </row>
    <row r="594" spans="1:21">
      <c r="A594" s="336"/>
      <c r="B594" s="293"/>
      <c r="C594" s="293"/>
      <c r="D594" s="294" t="s">
        <v>2593</v>
      </c>
      <c r="E594" s="293"/>
      <c r="F594" s="316"/>
      <c r="G594" s="295">
        <v>0</v>
      </c>
      <c r="H594" s="296">
        <f>SUM(H593)</f>
        <v>21485.56</v>
      </c>
      <c r="I594" s="310">
        <f t="shared" si="158"/>
        <v>5.2495618203437101E-4</v>
      </c>
      <c r="J594" s="296"/>
      <c r="K594" s="296"/>
      <c r="L594" s="296"/>
      <c r="M594" s="296"/>
      <c r="N594" s="296"/>
      <c r="O594" s="296"/>
      <c r="P594" s="296"/>
      <c r="Q594" s="296"/>
      <c r="R594" s="307">
        <v>0</v>
      </c>
      <c r="S594" s="296">
        <f>SUM(S593)</f>
        <v>0</v>
      </c>
      <c r="T594" s="329"/>
      <c r="U594" s="337">
        <f t="shared" ref="U594" si="162">SUM(U593)</f>
        <v>21485.56</v>
      </c>
    </row>
    <row r="595" spans="1:21">
      <c r="A595" s="331" t="s">
        <v>3881</v>
      </c>
      <c r="B595" s="351" t="s">
        <v>3220</v>
      </c>
      <c r="C595" s="351" t="s">
        <v>3220</v>
      </c>
      <c r="D595" s="351" t="s">
        <v>3220</v>
      </c>
      <c r="E595" s="351" t="s">
        <v>3220</v>
      </c>
      <c r="F595" s="351" t="s">
        <v>3220</v>
      </c>
      <c r="G595" s="288"/>
      <c r="H595" s="288"/>
      <c r="I595" s="311"/>
      <c r="J595" s="288"/>
      <c r="K595" s="288"/>
      <c r="L595" s="288"/>
      <c r="M595" s="288"/>
      <c r="N595" s="288"/>
      <c r="O595" s="288"/>
      <c r="P595" s="288"/>
      <c r="Q595" s="288"/>
      <c r="R595" s="305"/>
      <c r="S595" s="288"/>
      <c r="T595" s="326"/>
      <c r="U595" s="338"/>
    </row>
    <row r="596" spans="1:21" ht="45">
      <c r="A596" s="333" t="s">
        <v>3882</v>
      </c>
      <c r="B596" s="87" t="s">
        <v>133</v>
      </c>
      <c r="C596" s="87" t="s">
        <v>3221</v>
      </c>
      <c r="D596" s="290" t="s">
        <v>3222</v>
      </c>
      <c r="E596" s="87" t="s">
        <v>1549</v>
      </c>
      <c r="F596" s="284">
        <v>48</v>
      </c>
      <c r="G596" s="291">
        <v>3303.83</v>
      </c>
      <c r="H596" s="291">
        <f>ROUND((G596*F596),2)</f>
        <v>158583.84</v>
      </c>
      <c r="I596" s="309">
        <f t="shared" si="158"/>
        <v>3.874675232051181E-3</v>
      </c>
      <c r="J596" s="291"/>
      <c r="K596" s="291"/>
      <c r="L596" s="291"/>
      <c r="M596" s="291"/>
      <c r="N596" s="291"/>
      <c r="O596" s="291"/>
      <c r="P596" s="291"/>
      <c r="Q596" s="291"/>
      <c r="R596" s="306">
        <v>0</v>
      </c>
      <c r="S596" s="291">
        <f t="shared" si="157"/>
        <v>0</v>
      </c>
      <c r="T596" s="327">
        <f t="shared" si="159"/>
        <v>48</v>
      </c>
      <c r="U596" s="334">
        <f t="shared" si="160"/>
        <v>158583.84</v>
      </c>
    </row>
    <row r="597" spans="1:21">
      <c r="A597" s="336"/>
      <c r="B597" s="293"/>
      <c r="C597" s="293"/>
      <c r="D597" s="294" t="s">
        <v>2593</v>
      </c>
      <c r="E597" s="293"/>
      <c r="F597" s="316"/>
      <c r="G597" s="295">
        <v>0</v>
      </c>
      <c r="H597" s="296">
        <f>SUM(H596)</f>
        <v>158583.84</v>
      </c>
      <c r="I597" s="310">
        <f t="shared" si="158"/>
        <v>3.874675232051181E-3</v>
      </c>
      <c r="J597" s="296"/>
      <c r="K597" s="296"/>
      <c r="L597" s="296"/>
      <c r="M597" s="296"/>
      <c r="N597" s="296"/>
      <c r="O597" s="296"/>
      <c r="P597" s="296"/>
      <c r="Q597" s="296"/>
      <c r="R597" s="307"/>
      <c r="S597" s="296">
        <f>SUM(S596)</f>
        <v>0</v>
      </c>
      <c r="T597" s="329"/>
      <c r="U597" s="337">
        <f t="shared" ref="U597" si="163">SUM(U596)</f>
        <v>158583.84</v>
      </c>
    </row>
    <row r="598" spans="1:21">
      <c r="A598" s="331" t="s">
        <v>3883</v>
      </c>
      <c r="B598" s="351" t="s">
        <v>3223</v>
      </c>
      <c r="C598" s="351" t="s">
        <v>3223</v>
      </c>
      <c r="D598" s="351" t="s">
        <v>3223</v>
      </c>
      <c r="E598" s="351" t="s">
        <v>3223</v>
      </c>
      <c r="F598" s="351" t="s">
        <v>3223</v>
      </c>
      <c r="G598" s="288"/>
      <c r="H598" s="288"/>
      <c r="I598" s="311"/>
      <c r="J598" s="288"/>
      <c r="K598" s="288"/>
      <c r="L598" s="288"/>
      <c r="M598" s="288"/>
      <c r="N598" s="288"/>
      <c r="O598" s="288"/>
      <c r="P598" s="288"/>
      <c r="Q598" s="288"/>
      <c r="R598" s="305"/>
      <c r="S598" s="288"/>
      <c r="T598" s="326"/>
      <c r="U598" s="338"/>
    </row>
    <row r="599" spans="1:21" ht="75">
      <c r="A599" s="333" t="s">
        <v>3884</v>
      </c>
      <c r="B599" s="87" t="s">
        <v>1810</v>
      </c>
      <c r="C599" s="87" t="s">
        <v>3224</v>
      </c>
      <c r="D599" s="290" t="s">
        <v>3225</v>
      </c>
      <c r="E599" s="87" t="s">
        <v>48</v>
      </c>
      <c r="F599" s="284">
        <v>9</v>
      </c>
      <c r="G599" s="291">
        <v>3109.48</v>
      </c>
      <c r="H599" s="291">
        <f t="shared" ref="H599:H604" si="164">ROUND((G599*F599),2)</f>
        <v>27985.32</v>
      </c>
      <c r="I599" s="309">
        <f t="shared" si="158"/>
        <v>6.8376466520817349E-4</v>
      </c>
      <c r="J599" s="291"/>
      <c r="K599" s="291"/>
      <c r="L599" s="291"/>
      <c r="M599" s="291"/>
      <c r="N599" s="291"/>
      <c r="O599" s="291"/>
      <c r="P599" s="291"/>
      <c r="Q599" s="291"/>
      <c r="R599" s="306"/>
      <c r="S599" s="291">
        <f t="shared" si="157"/>
        <v>0</v>
      </c>
      <c r="T599" s="327">
        <f t="shared" si="159"/>
        <v>9</v>
      </c>
      <c r="U599" s="334">
        <f t="shared" si="160"/>
        <v>27985.32</v>
      </c>
    </row>
    <row r="600" spans="1:21" ht="75">
      <c r="A600" s="333" t="s">
        <v>3885</v>
      </c>
      <c r="B600" s="87" t="s">
        <v>1810</v>
      </c>
      <c r="C600" s="87" t="s">
        <v>3226</v>
      </c>
      <c r="D600" s="290" t="s">
        <v>3227</v>
      </c>
      <c r="E600" s="87" t="s">
        <v>48</v>
      </c>
      <c r="F600" s="284">
        <v>10</v>
      </c>
      <c r="G600" s="291">
        <v>3517.07</v>
      </c>
      <c r="H600" s="291">
        <f t="shared" si="164"/>
        <v>35170.699999999997</v>
      </c>
      <c r="I600" s="309">
        <f t="shared" si="158"/>
        <v>8.5932488571283463E-4</v>
      </c>
      <c r="J600" s="291"/>
      <c r="K600" s="291"/>
      <c r="L600" s="291"/>
      <c r="M600" s="291"/>
      <c r="N600" s="291"/>
      <c r="O600" s="291"/>
      <c r="P600" s="291"/>
      <c r="Q600" s="291"/>
      <c r="R600" s="306">
        <v>0</v>
      </c>
      <c r="S600" s="291">
        <f t="shared" si="157"/>
        <v>0</v>
      </c>
      <c r="T600" s="327">
        <f t="shared" si="159"/>
        <v>10</v>
      </c>
      <c r="U600" s="334">
        <f t="shared" si="160"/>
        <v>35170.700000000004</v>
      </c>
    </row>
    <row r="601" spans="1:21" ht="75">
      <c r="A601" s="333" t="s">
        <v>3886</v>
      </c>
      <c r="B601" s="87" t="s">
        <v>1810</v>
      </c>
      <c r="C601" s="87" t="s">
        <v>3228</v>
      </c>
      <c r="D601" s="290" t="s">
        <v>3229</v>
      </c>
      <c r="E601" s="87" t="s">
        <v>48</v>
      </c>
      <c r="F601" s="284">
        <v>20</v>
      </c>
      <c r="G601" s="291">
        <v>5042.1400000000003</v>
      </c>
      <c r="H601" s="291">
        <f t="shared" si="164"/>
        <v>100842.8</v>
      </c>
      <c r="I601" s="309">
        <f t="shared" si="158"/>
        <v>2.4638897600833152E-3</v>
      </c>
      <c r="J601" s="291"/>
      <c r="K601" s="291"/>
      <c r="L601" s="291"/>
      <c r="M601" s="291"/>
      <c r="N601" s="291"/>
      <c r="O601" s="291"/>
      <c r="P601" s="291"/>
      <c r="Q601" s="291"/>
      <c r="R601" s="306">
        <v>0</v>
      </c>
      <c r="S601" s="291">
        <f t="shared" si="157"/>
        <v>0</v>
      </c>
      <c r="T601" s="327">
        <f t="shared" si="159"/>
        <v>20</v>
      </c>
      <c r="U601" s="334">
        <f t="shared" si="160"/>
        <v>100842.8</v>
      </c>
    </row>
    <row r="602" spans="1:21" ht="75">
      <c r="A602" s="333" t="s">
        <v>3887</v>
      </c>
      <c r="B602" s="87" t="s">
        <v>1810</v>
      </c>
      <c r="C602" s="87" t="s">
        <v>3230</v>
      </c>
      <c r="D602" s="290" t="s">
        <v>3231</v>
      </c>
      <c r="E602" s="87">
        <v>0</v>
      </c>
      <c r="F602" s="284">
        <v>8</v>
      </c>
      <c r="G602" s="291">
        <v>8461.3700000000008</v>
      </c>
      <c r="H602" s="291">
        <f t="shared" si="164"/>
        <v>67690.960000000006</v>
      </c>
      <c r="I602" s="309">
        <f t="shared" si="158"/>
        <v>1.6538916332570028E-3</v>
      </c>
      <c r="J602" s="291"/>
      <c r="K602" s="291"/>
      <c r="L602" s="291"/>
      <c r="M602" s="291"/>
      <c r="N602" s="291"/>
      <c r="O602" s="291"/>
      <c r="P602" s="291"/>
      <c r="Q602" s="291"/>
      <c r="R602" s="306">
        <v>0</v>
      </c>
      <c r="S602" s="291">
        <f t="shared" si="157"/>
        <v>0</v>
      </c>
      <c r="T602" s="327">
        <f t="shared" si="159"/>
        <v>8</v>
      </c>
      <c r="U602" s="334">
        <f t="shared" si="160"/>
        <v>67690.960000000006</v>
      </c>
    </row>
    <row r="603" spans="1:21" ht="75">
      <c r="A603" s="333" t="s">
        <v>3888</v>
      </c>
      <c r="B603" s="87" t="s">
        <v>1810</v>
      </c>
      <c r="C603" s="87" t="s">
        <v>3232</v>
      </c>
      <c r="D603" s="290" t="s">
        <v>1737</v>
      </c>
      <c r="E603" s="87" t="s">
        <v>48</v>
      </c>
      <c r="F603" s="284">
        <v>15</v>
      </c>
      <c r="G603" s="291">
        <v>14347.38</v>
      </c>
      <c r="H603" s="291">
        <f t="shared" si="164"/>
        <v>215210.7</v>
      </c>
      <c r="I603" s="309">
        <f t="shared" si="158"/>
        <v>5.2582379702900191E-3</v>
      </c>
      <c r="J603" s="291"/>
      <c r="K603" s="291"/>
      <c r="L603" s="291"/>
      <c r="M603" s="291"/>
      <c r="N603" s="291"/>
      <c r="O603" s="291"/>
      <c r="P603" s="291"/>
      <c r="Q603" s="291"/>
      <c r="R603" s="306">
        <v>0</v>
      </c>
      <c r="S603" s="291">
        <f t="shared" si="157"/>
        <v>0</v>
      </c>
      <c r="T603" s="327">
        <f t="shared" si="159"/>
        <v>15</v>
      </c>
      <c r="U603" s="334">
        <f t="shared" si="160"/>
        <v>215210.69999999998</v>
      </c>
    </row>
    <row r="604" spans="1:21" ht="75">
      <c r="A604" s="333" t="s">
        <v>3889</v>
      </c>
      <c r="B604" s="87" t="s">
        <v>1810</v>
      </c>
      <c r="C604" s="87" t="s">
        <v>3233</v>
      </c>
      <c r="D604" s="290" t="s">
        <v>3234</v>
      </c>
      <c r="E604" s="87" t="s">
        <v>48</v>
      </c>
      <c r="F604" s="284">
        <v>4</v>
      </c>
      <c r="G604" s="291">
        <v>16995.66</v>
      </c>
      <c r="H604" s="291">
        <f t="shared" si="164"/>
        <v>67982.64</v>
      </c>
      <c r="I604" s="309">
        <f t="shared" si="158"/>
        <v>1.6610182438352601E-3</v>
      </c>
      <c r="J604" s="291"/>
      <c r="K604" s="291"/>
      <c r="L604" s="291"/>
      <c r="M604" s="291"/>
      <c r="N604" s="291"/>
      <c r="O604" s="291"/>
      <c r="P604" s="291"/>
      <c r="Q604" s="291"/>
      <c r="R604" s="306">
        <v>0</v>
      </c>
      <c r="S604" s="291">
        <f t="shared" si="157"/>
        <v>0</v>
      </c>
      <c r="T604" s="327">
        <f t="shared" si="159"/>
        <v>4</v>
      </c>
      <c r="U604" s="334">
        <f t="shared" si="160"/>
        <v>67982.64</v>
      </c>
    </row>
    <row r="605" spans="1:21">
      <c r="A605" s="336"/>
      <c r="B605" s="293"/>
      <c r="C605" s="293"/>
      <c r="D605" s="294" t="s">
        <v>2593</v>
      </c>
      <c r="E605" s="293"/>
      <c r="F605" s="316"/>
      <c r="G605" s="295">
        <v>0</v>
      </c>
      <c r="H605" s="296">
        <f>SUM(H599:H604)</f>
        <v>514883.12000000005</v>
      </c>
      <c r="I605" s="310">
        <f t="shared" si="158"/>
        <v>1.2580127158386606E-2</v>
      </c>
      <c r="J605" s="296"/>
      <c r="K605" s="296"/>
      <c r="L605" s="296"/>
      <c r="M605" s="296"/>
      <c r="N605" s="296"/>
      <c r="O605" s="296"/>
      <c r="P605" s="296"/>
      <c r="Q605" s="296"/>
      <c r="R605" s="307"/>
      <c r="S605" s="296">
        <f>SUM(S599:S604)</f>
        <v>0</v>
      </c>
      <c r="T605" s="329"/>
      <c r="U605" s="337">
        <f t="shared" ref="U605" si="165">SUM(U599:U604)</f>
        <v>514883.12</v>
      </c>
    </row>
    <row r="606" spans="1:21">
      <c r="A606" s="331" t="s">
        <v>3890</v>
      </c>
      <c r="B606" s="351" t="s">
        <v>1530</v>
      </c>
      <c r="C606" s="351" t="s">
        <v>1530</v>
      </c>
      <c r="D606" s="351" t="s">
        <v>1530</v>
      </c>
      <c r="E606" s="351" t="s">
        <v>1530</v>
      </c>
      <c r="F606" s="351" t="s">
        <v>1530</v>
      </c>
      <c r="G606" s="288"/>
      <c r="H606" s="288"/>
      <c r="I606" s="311"/>
      <c r="J606" s="288"/>
      <c r="K606" s="288"/>
      <c r="L606" s="288"/>
      <c r="M606" s="288"/>
      <c r="N606" s="288"/>
      <c r="O606" s="288"/>
      <c r="P606" s="288"/>
      <c r="Q606" s="288"/>
      <c r="R606" s="305"/>
      <c r="S606" s="288"/>
      <c r="T606" s="326"/>
      <c r="U606" s="338"/>
    </row>
    <row r="607" spans="1:21">
      <c r="A607" s="333" t="s">
        <v>3891</v>
      </c>
      <c r="B607" s="87" t="s">
        <v>1810</v>
      </c>
      <c r="C607" s="87" t="s">
        <v>3235</v>
      </c>
      <c r="D607" s="290" t="s">
        <v>3236</v>
      </c>
      <c r="E607" s="87" t="s">
        <v>48</v>
      </c>
      <c r="F607" s="284">
        <v>2</v>
      </c>
      <c r="G607" s="291">
        <v>196.12</v>
      </c>
      <c r="H607" s="291">
        <f>ROUND((G607*F607),2)</f>
        <v>392.24</v>
      </c>
      <c r="I607" s="309">
        <f t="shared" si="158"/>
        <v>9.5835906925936165E-6</v>
      </c>
      <c r="J607" s="291"/>
      <c r="K607" s="291"/>
      <c r="L607" s="291"/>
      <c r="M607" s="291"/>
      <c r="N607" s="291"/>
      <c r="O607" s="291"/>
      <c r="P607" s="291"/>
      <c r="Q607" s="291"/>
      <c r="R607" s="306">
        <v>0</v>
      </c>
      <c r="S607" s="291">
        <f t="shared" ref="S607:S608" si="166">ROUND((R607*P607),2)</f>
        <v>0</v>
      </c>
      <c r="T607" s="327">
        <f t="shared" si="159"/>
        <v>2</v>
      </c>
      <c r="U607" s="334">
        <f t="shared" si="160"/>
        <v>392.24</v>
      </c>
    </row>
    <row r="608" spans="1:21">
      <c r="A608" s="333" t="s">
        <v>3892</v>
      </c>
      <c r="B608" s="87" t="s">
        <v>1810</v>
      </c>
      <c r="C608" s="87" t="s">
        <v>3237</v>
      </c>
      <c r="D608" s="290" t="s">
        <v>767</v>
      </c>
      <c r="E608" s="87" t="s">
        <v>48</v>
      </c>
      <c r="F608" s="284">
        <v>20</v>
      </c>
      <c r="G608" s="291">
        <v>129.66</v>
      </c>
      <c r="H608" s="291">
        <f>ROUND((G608*F608),2)</f>
        <v>2593.1999999999998</v>
      </c>
      <c r="I608" s="309">
        <f t="shared" si="158"/>
        <v>6.3359594595231911E-5</v>
      </c>
      <c r="J608" s="291"/>
      <c r="K608" s="291"/>
      <c r="L608" s="291"/>
      <c r="M608" s="291"/>
      <c r="N608" s="291"/>
      <c r="O608" s="291"/>
      <c r="P608" s="291"/>
      <c r="Q608" s="291"/>
      <c r="R608" s="306">
        <v>0</v>
      </c>
      <c r="S608" s="291">
        <f t="shared" si="166"/>
        <v>0</v>
      </c>
      <c r="T608" s="327">
        <f t="shared" si="159"/>
        <v>20</v>
      </c>
      <c r="U608" s="334">
        <f t="shared" si="160"/>
        <v>2593.1999999999998</v>
      </c>
    </row>
    <row r="609" spans="1:21">
      <c r="A609" s="336"/>
      <c r="B609" s="293"/>
      <c r="C609" s="293"/>
      <c r="D609" s="294" t="s">
        <v>2593</v>
      </c>
      <c r="E609" s="293"/>
      <c r="F609" s="316"/>
      <c r="G609" s="295">
        <v>0</v>
      </c>
      <c r="H609" s="296">
        <f>SUM(H607:H608)</f>
        <v>2985.4399999999996</v>
      </c>
      <c r="I609" s="310">
        <f t="shared" si="158"/>
        <v>7.2943185287825511E-5</v>
      </c>
      <c r="J609" s="296"/>
      <c r="K609" s="296"/>
      <c r="L609" s="296"/>
      <c r="M609" s="296"/>
      <c r="N609" s="296"/>
      <c r="O609" s="296"/>
      <c r="P609" s="296"/>
      <c r="Q609" s="296"/>
      <c r="R609" s="307">
        <v>0</v>
      </c>
      <c r="S609" s="296">
        <f>SUM(S607:S608)</f>
        <v>0</v>
      </c>
      <c r="T609" s="329"/>
      <c r="U609" s="337">
        <f t="shared" ref="U609" si="167">SUM(U607:U608)</f>
        <v>2985.4399999999996</v>
      </c>
    </row>
    <row r="610" spans="1:21">
      <c r="A610" s="331" t="s">
        <v>3893</v>
      </c>
      <c r="B610" s="351" t="s">
        <v>3238</v>
      </c>
      <c r="C610" s="351" t="s">
        <v>3238</v>
      </c>
      <c r="D610" s="351" t="s">
        <v>3238</v>
      </c>
      <c r="E610" s="351" t="s">
        <v>3238</v>
      </c>
      <c r="F610" s="351" t="s">
        <v>3238</v>
      </c>
      <c r="G610" s="288"/>
      <c r="H610" s="288"/>
      <c r="I610" s="311"/>
      <c r="J610" s="288"/>
      <c r="K610" s="288"/>
      <c r="L610" s="288"/>
      <c r="M610" s="288"/>
      <c r="N610" s="288"/>
      <c r="O610" s="288"/>
      <c r="P610" s="288"/>
      <c r="Q610" s="288"/>
      <c r="R610" s="305"/>
      <c r="S610" s="288"/>
      <c r="T610" s="326"/>
      <c r="U610" s="338"/>
    </row>
    <row r="611" spans="1:21" ht="75">
      <c r="A611" s="333" t="s">
        <v>3894</v>
      </c>
      <c r="B611" s="87" t="s">
        <v>1810</v>
      </c>
      <c r="C611" s="87" t="s">
        <v>3239</v>
      </c>
      <c r="D611" s="290" t="s">
        <v>3240</v>
      </c>
      <c r="E611" s="87" t="s">
        <v>48</v>
      </c>
      <c r="F611" s="284">
        <v>25</v>
      </c>
      <c r="G611" s="291">
        <v>155.37</v>
      </c>
      <c r="H611" s="291">
        <f t="shared" ref="H611:H622" si="168">ROUND((G611*F611),2)</f>
        <v>3884.25</v>
      </c>
      <c r="I611" s="309">
        <f t="shared" si="158"/>
        <v>9.4903788873411062E-5</v>
      </c>
      <c r="J611" s="291"/>
      <c r="K611" s="291"/>
      <c r="L611" s="291"/>
      <c r="M611" s="291"/>
      <c r="N611" s="291"/>
      <c r="O611" s="291"/>
      <c r="P611" s="291"/>
      <c r="Q611" s="291"/>
      <c r="R611" s="306">
        <v>0</v>
      </c>
      <c r="S611" s="291">
        <f t="shared" ref="S611:S622" si="169">ROUND((R611*P611),2)</f>
        <v>0</v>
      </c>
      <c r="T611" s="327">
        <f t="shared" si="159"/>
        <v>25</v>
      </c>
      <c r="U611" s="334">
        <f t="shared" si="160"/>
        <v>3884.25</v>
      </c>
    </row>
    <row r="612" spans="1:21" ht="75">
      <c r="A612" s="333" t="s">
        <v>3895</v>
      </c>
      <c r="B612" s="87" t="s">
        <v>1810</v>
      </c>
      <c r="C612" s="87" t="s">
        <v>3241</v>
      </c>
      <c r="D612" s="290" t="s">
        <v>3242</v>
      </c>
      <c r="E612" s="87" t="s">
        <v>48</v>
      </c>
      <c r="F612" s="284">
        <v>35</v>
      </c>
      <c r="G612" s="291">
        <v>216.88</v>
      </c>
      <c r="H612" s="291">
        <f t="shared" si="168"/>
        <v>7590.8</v>
      </c>
      <c r="I612" s="309">
        <f t="shared" si="158"/>
        <v>1.8546583782719667E-4</v>
      </c>
      <c r="J612" s="291"/>
      <c r="K612" s="291"/>
      <c r="L612" s="291"/>
      <c r="M612" s="291"/>
      <c r="N612" s="291"/>
      <c r="O612" s="291"/>
      <c r="P612" s="291"/>
      <c r="Q612" s="291"/>
      <c r="R612" s="306">
        <v>0</v>
      </c>
      <c r="S612" s="291">
        <f t="shared" si="169"/>
        <v>0</v>
      </c>
      <c r="T612" s="327">
        <f t="shared" si="159"/>
        <v>35</v>
      </c>
      <c r="U612" s="334">
        <f t="shared" si="160"/>
        <v>7590.8</v>
      </c>
    </row>
    <row r="613" spans="1:21" ht="75">
      <c r="A613" s="333" t="s">
        <v>3896</v>
      </c>
      <c r="B613" s="87" t="s">
        <v>1810</v>
      </c>
      <c r="C613" s="87" t="s">
        <v>3243</v>
      </c>
      <c r="D613" s="290" t="s">
        <v>3244</v>
      </c>
      <c r="E613" s="87" t="s">
        <v>48</v>
      </c>
      <c r="F613" s="284">
        <v>5</v>
      </c>
      <c r="G613" s="291">
        <v>154.13</v>
      </c>
      <c r="H613" s="291">
        <f t="shared" si="168"/>
        <v>770.65</v>
      </c>
      <c r="I613" s="309">
        <f t="shared" si="158"/>
        <v>1.8829273320536585E-5</v>
      </c>
      <c r="J613" s="291"/>
      <c r="K613" s="291"/>
      <c r="L613" s="291"/>
      <c r="M613" s="291"/>
      <c r="N613" s="291"/>
      <c r="O613" s="291"/>
      <c r="P613" s="291"/>
      <c r="Q613" s="291"/>
      <c r="R613" s="306">
        <v>0</v>
      </c>
      <c r="S613" s="291">
        <f t="shared" si="169"/>
        <v>0</v>
      </c>
      <c r="T613" s="327">
        <f t="shared" si="159"/>
        <v>5</v>
      </c>
      <c r="U613" s="334">
        <f t="shared" si="160"/>
        <v>770.65</v>
      </c>
    </row>
    <row r="614" spans="1:21" ht="75">
      <c r="A614" s="333" t="s">
        <v>3897</v>
      </c>
      <c r="B614" s="87" t="s">
        <v>1810</v>
      </c>
      <c r="C614" s="87" t="s">
        <v>3245</v>
      </c>
      <c r="D614" s="290" t="s">
        <v>3246</v>
      </c>
      <c r="E614" s="87" t="s">
        <v>48</v>
      </c>
      <c r="F614" s="284">
        <v>2</v>
      </c>
      <c r="G614" s="291">
        <v>206.06</v>
      </c>
      <c r="H614" s="291">
        <f t="shared" si="168"/>
        <v>412.12</v>
      </c>
      <c r="I614" s="309">
        <f t="shared" si="158"/>
        <v>1.0069318264918624E-5</v>
      </c>
      <c r="J614" s="291"/>
      <c r="K614" s="291"/>
      <c r="L614" s="291"/>
      <c r="M614" s="291"/>
      <c r="N614" s="291"/>
      <c r="O614" s="291"/>
      <c r="P614" s="291"/>
      <c r="Q614" s="291"/>
      <c r="R614" s="306"/>
      <c r="S614" s="291">
        <f t="shared" si="169"/>
        <v>0</v>
      </c>
      <c r="T614" s="327">
        <f t="shared" si="159"/>
        <v>2</v>
      </c>
      <c r="U614" s="334">
        <f t="shared" si="160"/>
        <v>412.12</v>
      </c>
    </row>
    <row r="615" spans="1:21" ht="75">
      <c r="A615" s="333" t="s">
        <v>3898</v>
      </c>
      <c r="B615" s="87" t="s">
        <v>1810</v>
      </c>
      <c r="C615" s="87" t="s">
        <v>3247</v>
      </c>
      <c r="D615" s="290" t="s">
        <v>3248</v>
      </c>
      <c r="E615" s="87" t="s">
        <v>48</v>
      </c>
      <c r="F615" s="284">
        <v>20</v>
      </c>
      <c r="G615" s="291">
        <v>281.89</v>
      </c>
      <c r="H615" s="291">
        <f t="shared" si="168"/>
        <v>5637.8</v>
      </c>
      <c r="I615" s="309">
        <f t="shared" si="158"/>
        <v>1.3774823477132441E-4</v>
      </c>
      <c r="J615" s="291"/>
      <c r="K615" s="291"/>
      <c r="L615" s="291"/>
      <c r="M615" s="291"/>
      <c r="N615" s="291"/>
      <c r="O615" s="291"/>
      <c r="P615" s="291"/>
      <c r="Q615" s="291"/>
      <c r="R615" s="306">
        <v>0</v>
      </c>
      <c r="S615" s="291">
        <f t="shared" si="169"/>
        <v>0</v>
      </c>
      <c r="T615" s="327">
        <f t="shared" si="159"/>
        <v>20</v>
      </c>
      <c r="U615" s="334">
        <f t="shared" si="160"/>
        <v>5637.7999999999993</v>
      </c>
    </row>
    <row r="616" spans="1:21" ht="60">
      <c r="A616" s="333" t="s">
        <v>3899</v>
      </c>
      <c r="B616" s="87" t="s">
        <v>1810</v>
      </c>
      <c r="C616" s="87" t="s">
        <v>3249</v>
      </c>
      <c r="D616" s="290" t="s">
        <v>3250</v>
      </c>
      <c r="E616" s="87" t="s">
        <v>48</v>
      </c>
      <c r="F616" s="284">
        <v>212</v>
      </c>
      <c r="G616" s="291">
        <v>283.51</v>
      </c>
      <c r="H616" s="291">
        <f t="shared" si="168"/>
        <v>60104.12</v>
      </c>
      <c r="I616" s="309">
        <f t="shared" si="158"/>
        <v>1.4685225500166476E-3</v>
      </c>
      <c r="J616" s="291"/>
      <c r="K616" s="291"/>
      <c r="L616" s="291"/>
      <c r="M616" s="291"/>
      <c r="N616" s="291"/>
      <c r="O616" s="291"/>
      <c r="P616" s="291"/>
      <c r="Q616" s="291"/>
      <c r="R616" s="306">
        <v>0</v>
      </c>
      <c r="S616" s="291">
        <f t="shared" si="169"/>
        <v>0</v>
      </c>
      <c r="T616" s="327">
        <f t="shared" si="159"/>
        <v>212</v>
      </c>
      <c r="U616" s="334">
        <f t="shared" si="160"/>
        <v>60104.119999999995</v>
      </c>
    </row>
    <row r="617" spans="1:21" ht="30">
      <c r="A617" s="333" t="s">
        <v>3900</v>
      </c>
      <c r="B617" s="87" t="s">
        <v>133</v>
      </c>
      <c r="C617" s="87">
        <v>105548</v>
      </c>
      <c r="D617" s="299" t="s">
        <v>3251</v>
      </c>
      <c r="E617" s="87" t="s">
        <v>193</v>
      </c>
      <c r="F617" s="284">
        <v>55</v>
      </c>
      <c r="G617" s="291">
        <v>194.46</v>
      </c>
      <c r="H617" s="291">
        <f t="shared" si="168"/>
        <v>10695.3</v>
      </c>
      <c r="I617" s="309">
        <f t="shared" si="158"/>
        <v>2.613180132941477E-4</v>
      </c>
      <c r="J617" s="291"/>
      <c r="K617" s="291"/>
      <c r="L617" s="291"/>
      <c r="M617" s="291"/>
      <c r="N617" s="291"/>
      <c r="O617" s="291"/>
      <c r="P617" s="291"/>
      <c r="Q617" s="291"/>
      <c r="R617" s="306">
        <v>0</v>
      </c>
      <c r="S617" s="291">
        <f t="shared" si="169"/>
        <v>0</v>
      </c>
      <c r="T617" s="327">
        <f t="shared" si="159"/>
        <v>55</v>
      </c>
      <c r="U617" s="334">
        <f t="shared" si="160"/>
        <v>10695.300000000001</v>
      </c>
    </row>
    <row r="618" spans="1:21" ht="75">
      <c r="A618" s="333" t="s">
        <v>3901</v>
      </c>
      <c r="B618" s="87" t="s">
        <v>1810</v>
      </c>
      <c r="C618" s="87" t="s">
        <v>3239</v>
      </c>
      <c r="D618" s="290" t="s">
        <v>3252</v>
      </c>
      <c r="E618" s="87" t="s">
        <v>202</v>
      </c>
      <c r="F618" s="284">
        <v>1</v>
      </c>
      <c r="G618" s="291">
        <v>155.38</v>
      </c>
      <c r="H618" s="291">
        <f t="shared" si="168"/>
        <v>155.38</v>
      </c>
      <c r="I618" s="309">
        <f t="shared" si="158"/>
        <v>3.796395884701193E-6</v>
      </c>
      <c r="J618" s="291"/>
      <c r="K618" s="291"/>
      <c r="L618" s="291"/>
      <c r="M618" s="291"/>
      <c r="N618" s="291"/>
      <c r="O618" s="291"/>
      <c r="P618" s="291"/>
      <c r="Q618" s="291"/>
      <c r="R618" s="306">
        <v>0</v>
      </c>
      <c r="S618" s="291">
        <f t="shared" si="169"/>
        <v>0</v>
      </c>
      <c r="T618" s="327">
        <f t="shared" si="159"/>
        <v>1</v>
      </c>
      <c r="U618" s="334">
        <f t="shared" si="160"/>
        <v>155.38</v>
      </c>
    </row>
    <row r="619" spans="1:21" ht="75">
      <c r="A619" s="333" t="s">
        <v>3902</v>
      </c>
      <c r="B619" s="87" t="s">
        <v>1810</v>
      </c>
      <c r="C619" s="87" t="s">
        <v>3241</v>
      </c>
      <c r="D619" s="290" t="s">
        <v>3253</v>
      </c>
      <c r="E619" s="87" t="s">
        <v>202</v>
      </c>
      <c r="F619" s="284">
        <v>185</v>
      </c>
      <c r="G619" s="291">
        <v>216.88</v>
      </c>
      <c r="H619" s="291">
        <f t="shared" si="168"/>
        <v>40122.800000000003</v>
      </c>
      <c r="I619" s="309">
        <f t="shared" si="158"/>
        <v>9.8031942851518243E-4</v>
      </c>
      <c r="J619" s="291"/>
      <c r="K619" s="291"/>
      <c r="L619" s="291"/>
      <c r="M619" s="291"/>
      <c r="N619" s="291"/>
      <c r="O619" s="291"/>
      <c r="P619" s="291"/>
      <c r="Q619" s="291"/>
      <c r="R619" s="306">
        <v>0</v>
      </c>
      <c r="S619" s="291">
        <f t="shared" si="169"/>
        <v>0</v>
      </c>
      <c r="T619" s="327">
        <f t="shared" si="159"/>
        <v>185</v>
      </c>
      <c r="U619" s="334">
        <f t="shared" si="160"/>
        <v>40122.799999999996</v>
      </c>
    </row>
    <row r="620" spans="1:21" ht="30">
      <c r="A620" s="333" t="s">
        <v>3903</v>
      </c>
      <c r="B620" s="87" t="s">
        <v>1810</v>
      </c>
      <c r="C620" s="87">
        <v>180110</v>
      </c>
      <c r="D620" s="290" t="s">
        <v>3254</v>
      </c>
      <c r="E620" s="87" t="s">
        <v>202</v>
      </c>
      <c r="F620" s="284">
        <v>435</v>
      </c>
      <c r="G620" s="291">
        <v>121.89</v>
      </c>
      <c r="H620" s="291">
        <f t="shared" si="168"/>
        <v>53022.15</v>
      </c>
      <c r="I620" s="309">
        <f t="shared" si="158"/>
        <v>1.2954889436092765E-3</v>
      </c>
      <c r="J620" s="291"/>
      <c r="K620" s="291"/>
      <c r="L620" s="291"/>
      <c r="M620" s="291"/>
      <c r="N620" s="291"/>
      <c r="O620" s="291"/>
      <c r="P620" s="291"/>
      <c r="Q620" s="291"/>
      <c r="R620" s="306">
        <v>0</v>
      </c>
      <c r="S620" s="291">
        <f t="shared" si="169"/>
        <v>0</v>
      </c>
      <c r="T620" s="327">
        <f t="shared" si="159"/>
        <v>435</v>
      </c>
      <c r="U620" s="334">
        <f t="shared" si="160"/>
        <v>53022.15</v>
      </c>
    </row>
    <row r="621" spans="1:21" ht="45">
      <c r="A621" s="333" t="s">
        <v>3904</v>
      </c>
      <c r="B621" s="87" t="s">
        <v>133</v>
      </c>
      <c r="C621" s="87">
        <v>97605</v>
      </c>
      <c r="D621" s="290" t="s">
        <v>3255</v>
      </c>
      <c r="E621" s="87" t="s">
        <v>202</v>
      </c>
      <c r="F621" s="284">
        <v>2</v>
      </c>
      <c r="G621" s="291">
        <v>105.54</v>
      </c>
      <c r="H621" s="291">
        <f t="shared" si="168"/>
        <v>211.08</v>
      </c>
      <c r="I621" s="309">
        <f t="shared" si="158"/>
        <v>5.1573126743643188E-6</v>
      </c>
      <c r="J621" s="291"/>
      <c r="K621" s="291"/>
      <c r="L621" s="291"/>
      <c r="M621" s="291"/>
      <c r="N621" s="291"/>
      <c r="O621" s="291"/>
      <c r="P621" s="291"/>
      <c r="Q621" s="291"/>
      <c r="R621" s="306"/>
      <c r="S621" s="291">
        <f t="shared" si="169"/>
        <v>0</v>
      </c>
      <c r="T621" s="327">
        <f t="shared" si="159"/>
        <v>2</v>
      </c>
      <c r="U621" s="334">
        <f t="shared" si="160"/>
        <v>211.08</v>
      </c>
    </row>
    <row r="622" spans="1:21" ht="45">
      <c r="A622" s="333" t="s">
        <v>3905</v>
      </c>
      <c r="B622" s="87" t="s">
        <v>133</v>
      </c>
      <c r="C622" s="87" t="s">
        <v>3256</v>
      </c>
      <c r="D622" s="290" t="s">
        <v>3257</v>
      </c>
      <c r="E622" s="87" t="s">
        <v>1549</v>
      </c>
      <c r="F622" s="284">
        <v>16</v>
      </c>
      <c r="G622" s="291">
        <v>135.34</v>
      </c>
      <c r="H622" s="291">
        <f t="shared" si="168"/>
        <v>2165.44</v>
      </c>
      <c r="I622" s="309">
        <f t="shared" si="158"/>
        <v>5.2908144578242711E-5</v>
      </c>
      <c r="J622" s="291"/>
      <c r="K622" s="291"/>
      <c r="L622" s="291"/>
      <c r="M622" s="291"/>
      <c r="N622" s="291"/>
      <c r="O622" s="291"/>
      <c r="P622" s="291"/>
      <c r="Q622" s="291"/>
      <c r="R622" s="306"/>
      <c r="S622" s="291">
        <f t="shared" si="169"/>
        <v>0</v>
      </c>
      <c r="T622" s="327">
        <f t="shared" si="159"/>
        <v>16</v>
      </c>
      <c r="U622" s="334">
        <f t="shared" si="160"/>
        <v>2165.44</v>
      </c>
    </row>
    <row r="623" spans="1:21">
      <c r="A623" s="336"/>
      <c r="B623" s="293"/>
      <c r="C623" s="293"/>
      <c r="D623" s="294" t="s">
        <v>2593</v>
      </c>
      <c r="E623" s="293"/>
      <c r="F623" s="316"/>
      <c r="G623" s="295">
        <v>0</v>
      </c>
      <c r="H623" s="296">
        <f>SUM(H611:H622)</f>
        <v>184771.89</v>
      </c>
      <c r="I623" s="310">
        <f t="shared" si="158"/>
        <v>4.5145272416299495E-3</v>
      </c>
      <c r="J623" s="296"/>
      <c r="K623" s="296"/>
      <c r="L623" s="296"/>
      <c r="M623" s="296"/>
      <c r="N623" s="296"/>
      <c r="O623" s="296"/>
      <c r="P623" s="296"/>
      <c r="Q623" s="296"/>
      <c r="R623" s="307"/>
      <c r="S623" s="296">
        <f>SUM(S611:S622)</f>
        <v>0</v>
      </c>
      <c r="T623" s="329"/>
      <c r="U623" s="337">
        <f t="shared" ref="U623" si="170">SUM(U611:U622)</f>
        <v>184771.88999999998</v>
      </c>
    </row>
    <row r="624" spans="1:21">
      <c r="A624" s="331">
        <v>19</v>
      </c>
      <c r="B624" s="351" t="s">
        <v>1578</v>
      </c>
      <c r="C624" s="351" t="s">
        <v>1578</v>
      </c>
      <c r="D624" s="351" t="s">
        <v>1578</v>
      </c>
      <c r="E624" s="351" t="s">
        <v>1578</v>
      </c>
      <c r="F624" s="351" t="s">
        <v>1578</v>
      </c>
      <c r="G624" s="288"/>
      <c r="H624" s="288"/>
      <c r="I624" s="311"/>
      <c r="J624" s="288"/>
      <c r="K624" s="288"/>
      <c r="L624" s="288"/>
      <c r="M624" s="288"/>
      <c r="N624" s="288"/>
      <c r="O624" s="288"/>
      <c r="P624" s="288"/>
      <c r="Q624" s="288"/>
      <c r="R624" s="305"/>
      <c r="S624" s="288"/>
      <c r="T624" s="326"/>
      <c r="U624" s="338"/>
    </row>
    <row r="625" spans="1:21">
      <c r="A625" s="331" t="s">
        <v>3906</v>
      </c>
      <c r="B625" s="351" t="s">
        <v>1580</v>
      </c>
      <c r="C625" s="351" t="s">
        <v>1580</v>
      </c>
      <c r="D625" s="351" t="s">
        <v>1580</v>
      </c>
      <c r="E625" s="351" t="s">
        <v>1580</v>
      </c>
      <c r="F625" s="351" t="s">
        <v>1580</v>
      </c>
      <c r="G625" s="288"/>
      <c r="H625" s="288"/>
      <c r="I625" s="311"/>
      <c r="J625" s="288"/>
      <c r="K625" s="288"/>
      <c r="L625" s="288"/>
      <c r="M625" s="288"/>
      <c r="N625" s="288"/>
      <c r="O625" s="288"/>
      <c r="P625" s="288"/>
      <c r="Q625" s="288"/>
      <c r="R625" s="305"/>
      <c r="S625" s="288"/>
      <c r="T625" s="326"/>
      <c r="U625" s="338"/>
    </row>
    <row r="626" spans="1:21" ht="75">
      <c r="A626" s="333" t="s">
        <v>3907</v>
      </c>
      <c r="B626" s="87" t="s">
        <v>1810</v>
      </c>
      <c r="C626" s="87">
        <v>190106</v>
      </c>
      <c r="D626" s="290" t="s">
        <v>3258</v>
      </c>
      <c r="E626" s="87" t="s">
        <v>25</v>
      </c>
      <c r="F626" s="284">
        <v>16658.16</v>
      </c>
      <c r="G626" s="291">
        <v>34.97</v>
      </c>
      <c r="H626" s="291">
        <f>ROUND((G626*F626),2)</f>
        <v>582535.86</v>
      </c>
      <c r="I626" s="309">
        <f t="shared" si="158"/>
        <v>1.423308496328273E-2</v>
      </c>
      <c r="J626" s="291"/>
      <c r="K626" s="291"/>
      <c r="L626" s="291"/>
      <c r="M626" s="291"/>
      <c r="N626" s="291"/>
      <c r="O626" s="291"/>
      <c r="P626" s="291"/>
      <c r="Q626" s="291"/>
      <c r="R626" s="306"/>
      <c r="S626" s="291">
        <f t="shared" ref="S626:S627" si="171">ROUND((R626*P626),2)</f>
        <v>0</v>
      </c>
      <c r="T626" s="327">
        <f t="shared" si="159"/>
        <v>16658.16</v>
      </c>
      <c r="U626" s="334">
        <f t="shared" si="160"/>
        <v>582535.85519999999</v>
      </c>
    </row>
    <row r="627" spans="1:21" ht="75">
      <c r="A627" s="333" t="s">
        <v>3908</v>
      </c>
      <c r="B627" s="87" t="s">
        <v>1810</v>
      </c>
      <c r="C627" s="87" t="s">
        <v>3259</v>
      </c>
      <c r="D627" s="290" t="s">
        <v>3260</v>
      </c>
      <c r="E627" s="87" t="s">
        <v>25</v>
      </c>
      <c r="F627" s="284">
        <v>1549.1999999999998</v>
      </c>
      <c r="G627" s="291">
        <v>28.3</v>
      </c>
      <c r="H627" s="291">
        <f>ROUND((G627*F627),2)</f>
        <v>43842.36</v>
      </c>
      <c r="I627" s="309">
        <f t="shared" si="158"/>
        <v>1.0711993504929091E-3</v>
      </c>
      <c r="J627" s="291"/>
      <c r="K627" s="291"/>
      <c r="L627" s="291"/>
      <c r="M627" s="291"/>
      <c r="N627" s="291"/>
      <c r="O627" s="291"/>
      <c r="P627" s="291"/>
      <c r="Q627" s="291"/>
      <c r="R627" s="306"/>
      <c r="S627" s="291">
        <f t="shared" si="171"/>
        <v>0</v>
      </c>
      <c r="T627" s="327">
        <f t="shared" si="159"/>
        <v>1549.1999999999998</v>
      </c>
      <c r="U627" s="334">
        <f t="shared" si="160"/>
        <v>43842.359999999993</v>
      </c>
    </row>
    <row r="628" spans="1:21">
      <c r="A628" s="336"/>
      <c r="B628" s="293"/>
      <c r="C628" s="293"/>
      <c r="D628" s="294" t="s">
        <v>2593</v>
      </c>
      <c r="E628" s="293"/>
      <c r="F628" s="316"/>
      <c r="G628" s="295">
        <v>0</v>
      </c>
      <c r="H628" s="296">
        <f>SUM(H626:H627)</f>
        <v>626378.22</v>
      </c>
      <c r="I628" s="310">
        <f t="shared" si="158"/>
        <v>1.5304284313775637E-2</v>
      </c>
      <c r="J628" s="296"/>
      <c r="K628" s="296"/>
      <c r="L628" s="296"/>
      <c r="M628" s="296"/>
      <c r="N628" s="296"/>
      <c r="O628" s="296"/>
      <c r="P628" s="296"/>
      <c r="Q628" s="296"/>
      <c r="R628" s="307">
        <v>0</v>
      </c>
      <c r="S628" s="296">
        <f>SUM(S626:S627)</f>
        <v>0</v>
      </c>
      <c r="T628" s="329"/>
      <c r="U628" s="337">
        <f t="shared" ref="U628" si="172">SUM(U626:U627)</f>
        <v>626378.21519999998</v>
      </c>
    </row>
    <row r="629" spans="1:21">
      <c r="A629" s="331" t="s">
        <v>3909</v>
      </c>
      <c r="B629" s="351" t="s">
        <v>1587</v>
      </c>
      <c r="C629" s="351" t="s">
        <v>1587</v>
      </c>
      <c r="D629" s="351" t="s">
        <v>1587</v>
      </c>
      <c r="E629" s="351" t="s">
        <v>1587</v>
      </c>
      <c r="F629" s="351" t="s">
        <v>1587</v>
      </c>
      <c r="G629" s="288"/>
      <c r="H629" s="288"/>
      <c r="I629" s="311"/>
      <c r="J629" s="288"/>
      <c r="K629" s="288"/>
      <c r="L629" s="288"/>
      <c r="M629" s="288"/>
      <c r="N629" s="288"/>
      <c r="O629" s="288"/>
      <c r="P629" s="288"/>
      <c r="Q629" s="288"/>
      <c r="R629" s="305"/>
      <c r="S629" s="288"/>
      <c r="T629" s="326"/>
      <c r="U629" s="338"/>
    </row>
    <row r="630" spans="1:21" ht="75">
      <c r="A630" s="333" t="s">
        <v>3910</v>
      </c>
      <c r="B630" s="87" t="s">
        <v>1810</v>
      </c>
      <c r="C630" s="87" t="s">
        <v>3261</v>
      </c>
      <c r="D630" s="290" t="s">
        <v>1874</v>
      </c>
      <c r="E630" s="87" t="s">
        <v>25</v>
      </c>
      <c r="F630" s="284">
        <v>1574.91</v>
      </c>
      <c r="G630" s="291">
        <v>34.97</v>
      </c>
      <c r="H630" s="291">
        <f>ROUND((G630*F630),2)</f>
        <v>55074.6</v>
      </c>
      <c r="I630" s="309">
        <f t="shared" si="158"/>
        <v>1.3456364061755974E-3</v>
      </c>
      <c r="J630" s="291"/>
      <c r="K630" s="291"/>
      <c r="L630" s="291"/>
      <c r="M630" s="291"/>
      <c r="N630" s="291"/>
      <c r="O630" s="291"/>
      <c r="P630" s="291"/>
      <c r="Q630" s="291"/>
      <c r="R630" s="306"/>
      <c r="S630" s="291">
        <f t="shared" ref="S630:S632" si="173">ROUND((R630*P630),2)</f>
        <v>0</v>
      </c>
      <c r="T630" s="327">
        <f t="shared" si="159"/>
        <v>1574.91</v>
      </c>
      <c r="U630" s="334">
        <f t="shared" si="160"/>
        <v>55074.602700000003</v>
      </c>
    </row>
    <row r="631" spans="1:21" ht="75">
      <c r="A631" s="333" t="s">
        <v>3911</v>
      </c>
      <c r="B631" s="87" t="s">
        <v>1810</v>
      </c>
      <c r="C631" s="87" t="s">
        <v>3259</v>
      </c>
      <c r="D631" s="290" t="s">
        <v>3260</v>
      </c>
      <c r="E631" s="87" t="s">
        <v>25</v>
      </c>
      <c r="F631" s="284">
        <v>1088.0200000000002</v>
      </c>
      <c r="G631" s="291">
        <v>28.3</v>
      </c>
      <c r="H631" s="291">
        <f>ROUND((G631*F631),2)</f>
        <v>30790.97</v>
      </c>
      <c r="I631" s="309">
        <f t="shared" si="158"/>
        <v>7.5231504565554069E-4</v>
      </c>
      <c r="J631" s="291"/>
      <c r="K631" s="291"/>
      <c r="L631" s="291"/>
      <c r="M631" s="291"/>
      <c r="N631" s="291"/>
      <c r="O631" s="291"/>
      <c r="P631" s="291"/>
      <c r="Q631" s="291"/>
      <c r="R631" s="306">
        <v>0</v>
      </c>
      <c r="S631" s="291">
        <f t="shared" si="173"/>
        <v>0</v>
      </c>
      <c r="T631" s="327">
        <f t="shared" si="159"/>
        <v>1088.0200000000002</v>
      </c>
      <c r="U631" s="334">
        <f t="shared" si="160"/>
        <v>30790.966000000008</v>
      </c>
    </row>
    <row r="632" spans="1:21" ht="75">
      <c r="A632" s="333" t="s">
        <v>3912</v>
      </c>
      <c r="B632" s="87" t="s">
        <v>1810</v>
      </c>
      <c r="C632" s="87" t="s">
        <v>3262</v>
      </c>
      <c r="D632" s="290" t="s">
        <v>3263</v>
      </c>
      <c r="E632" s="87" t="s">
        <v>25</v>
      </c>
      <c r="F632" s="284">
        <v>227.09</v>
      </c>
      <c r="G632" s="291">
        <v>32.82</v>
      </c>
      <c r="H632" s="291">
        <f>ROUND((G632*F632),2)</f>
        <v>7453.09</v>
      </c>
      <c r="I632" s="309">
        <f t="shared" si="158"/>
        <v>1.821011726368105E-4</v>
      </c>
      <c r="J632" s="291"/>
      <c r="K632" s="291"/>
      <c r="L632" s="291"/>
      <c r="M632" s="291"/>
      <c r="N632" s="291"/>
      <c r="O632" s="291"/>
      <c r="P632" s="291"/>
      <c r="Q632" s="291"/>
      <c r="R632" s="306"/>
      <c r="S632" s="291">
        <f t="shared" si="173"/>
        <v>0</v>
      </c>
      <c r="T632" s="327">
        <f t="shared" si="159"/>
        <v>227.09</v>
      </c>
      <c r="U632" s="334">
        <f t="shared" si="160"/>
        <v>7453.0938000000006</v>
      </c>
    </row>
    <row r="633" spans="1:21">
      <c r="A633" s="336"/>
      <c r="B633" s="293"/>
      <c r="C633" s="293"/>
      <c r="D633" s="294" t="s">
        <v>2593</v>
      </c>
      <c r="E633" s="293"/>
      <c r="F633" s="316"/>
      <c r="G633" s="295">
        <v>0</v>
      </c>
      <c r="H633" s="296">
        <f>SUM(H630:H632)</f>
        <v>93318.66</v>
      </c>
      <c r="I633" s="310">
        <f t="shared" si="158"/>
        <v>2.2800526244679486E-3</v>
      </c>
      <c r="J633" s="296"/>
      <c r="K633" s="296"/>
      <c r="L633" s="296"/>
      <c r="M633" s="296"/>
      <c r="N633" s="296"/>
      <c r="O633" s="296"/>
      <c r="P633" s="296"/>
      <c r="Q633" s="296"/>
      <c r="R633" s="307">
        <v>0</v>
      </c>
      <c r="S633" s="296">
        <f>SUM(S630:S632)</f>
        <v>0</v>
      </c>
      <c r="T633" s="329"/>
      <c r="U633" s="337">
        <f t="shared" ref="U633" si="174">SUM(U630:U632)</f>
        <v>93318.662500000006</v>
      </c>
    </row>
    <row r="634" spans="1:21">
      <c r="A634" s="331" t="s">
        <v>3913</v>
      </c>
      <c r="B634" s="351" t="s">
        <v>1589</v>
      </c>
      <c r="C634" s="351" t="s">
        <v>1589</v>
      </c>
      <c r="D634" s="351" t="s">
        <v>1589</v>
      </c>
      <c r="E634" s="351" t="s">
        <v>1589</v>
      </c>
      <c r="F634" s="351" t="s">
        <v>1589</v>
      </c>
      <c r="G634" s="288"/>
      <c r="H634" s="288"/>
      <c r="I634" s="311"/>
      <c r="J634" s="288"/>
      <c r="K634" s="288"/>
      <c r="L634" s="288"/>
      <c r="M634" s="288"/>
      <c r="N634" s="288"/>
      <c r="O634" s="288"/>
      <c r="P634" s="288"/>
      <c r="Q634" s="288"/>
      <c r="R634" s="305"/>
      <c r="S634" s="288"/>
      <c r="T634" s="326"/>
      <c r="U634" s="338"/>
    </row>
    <row r="635" spans="1:21" ht="75">
      <c r="A635" s="333" t="s">
        <v>3914</v>
      </c>
      <c r="B635" s="87" t="s">
        <v>1810</v>
      </c>
      <c r="C635" s="87" t="s">
        <v>3261</v>
      </c>
      <c r="D635" s="290" t="s">
        <v>1874</v>
      </c>
      <c r="E635" s="87" t="s">
        <v>25</v>
      </c>
      <c r="F635" s="284">
        <v>558.16</v>
      </c>
      <c r="G635" s="291">
        <v>34.97</v>
      </c>
      <c r="H635" s="291">
        <f>ROUND((G635*F635),2)</f>
        <v>19518.86</v>
      </c>
      <c r="I635" s="309">
        <f t="shared" si="158"/>
        <v>4.7690384720078992E-4</v>
      </c>
      <c r="J635" s="291"/>
      <c r="K635" s="291"/>
      <c r="L635" s="291"/>
      <c r="M635" s="291"/>
      <c r="N635" s="291"/>
      <c r="O635" s="291"/>
      <c r="P635" s="291"/>
      <c r="Q635" s="291"/>
      <c r="R635" s="306"/>
      <c r="S635" s="291">
        <f t="shared" ref="S635:S636" si="175">ROUND((R635*P635),2)</f>
        <v>0</v>
      </c>
      <c r="T635" s="327">
        <f t="shared" si="159"/>
        <v>558.16</v>
      </c>
      <c r="U635" s="334">
        <f t="shared" si="160"/>
        <v>19518.855199999998</v>
      </c>
    </row>
    <row r="636" spans="1:21" ht="60">
      <c r="A636" s="333" t="s">
        <v>3915</v>
      </c>
      <c r="B636" s="87" t="s">
        <v>1810</v>
      </c>
      <c r="C636" s="87" t="s">
        <v>3264</v>
      </c>
      <c r="D636" s="290" t="s">
        <v>3265</v>
      </c>
      <c r="E636" s="87" t="s">
        <v>25</v>
      </c>
      <c r="F636" s="284">
        <v>162</v>
      </c>
      <c r="G636" s="291">
        <v>34.28</v>
      </c>
      <c r="H636" s="291">
        <f>ROUND((G636*F636),2)</f>
        <v>5553.36</v>
      </c>
      <c r="I636" s="309">
        <f t="shared" si="158"/>
        <v>1.3568511423776687E-4</v>
      </c>
      <c r="J636" s="291"/>
      <c r="K636" s="291"/>
      <c r="L636" s="291"/>
      <c r="M636" s="291"/>
      <c r="N636" s="291"/>
      <c r="O636" s="291"/>
      <c r="P636" s="291"/>
      <c r="Q636" s="291"/>
      <c r="R636" s="306">
        <v>0</v>
      </c>
      <c r="S636" s="291">
        <f t="shared" si="175"/>
        <v>0</v>
      </c>
      <c r="T636" s="327">
        <f t="shared" si="159"/>
        <v>162</v>
      </c>
      <c r="U636" s="334">
        <f t="shared" si="160"/>
        <v>5553.3600000000006</v>
      </c>
    </row>
    <row r="637" spans="1:21">
      <c r="A637" s="336"/>
      <c r="B637" s="293"/>
      <c r="C637" s="293"/>
      <c r="D637" s="294" t="s">
        <v>2593</v>
      </c>
      <c r="E637" s="293"/>
      <c r="F637" s="316"/>
      <c r="G637" s="295">
        <v>0</v>
      </c>
      <c r="H637" s="296">
        <f>SUM(H635:H636)</f>
        <v>25072.22</v>
      </c>
      <c r="I637" s="310">
        <f t="shared" si="158"/>
        <v>6.1258896143855676E-4</v>
      </c>
      <c r="J637" s="296"/>
      <c r="K637" s="296"/>
      <c r="L637" s="296"/>
      <c r="M637" s="296"/>
      <c r="N637" s="296"/>
      <c r="O637" s="296"/>
      <c r="P637" s="296"/>
      <c r="Q637" s="296"/>
      <c r="R637" s="307">
        <v>0</v>
      </c>
      <c r="S637" s="296">
        <f>SUM(S635:S636)</f>
        <v>0</v>
      </c>
      <c r="T637" s="329"/>
      <c r="U637" s="337">
        <f t="shared" ref="U637" si="176">SUM(U635:U636)</f>
        <v>25072.215199999999</v>
      </c>
    </row>
    <row r="638" spans="1:21">
      <c r="A638" s="331" t="s">
        <v>3916</v>
      </c>
      <c r="B638" s="351" t="s">
        <v>1587</v>
      </c>
      <c r="C638" s="351" t="s">
        <v>1587</v>
      </c>
      <c r="D638" s="351" t="s">
        <v>1587</v>
      </c>
      <c r="E638" s="351" t="s">
        <v>1587</v>
      </c>
      <c r="F638" s="351" t="s">
        <v>1587</v>
      </c>
      <c r="G638" s="288"/>
      <c r="H638" s="288"/>
      <c r="I638" s="311"/>
      <c r="J638" s="288"/>
      <c r="K638" s="288"/>
      <c r="L638" s="288"/>
      <c r="M638" s="288"/>
      <c r="N638" s="288"/>
      <c r="O638" s="288"/>
      <c r="P638" s="288"/>
      <c r="Q638" s="288"/>
      <c r="R638" s="305"/>
      <c r="S638" s="288"/>
      <c r="T638" s="326"/>
      <c r="U638" s="338"/>
    </row>
    <row r="639" spans="1:21">
      <c r="A639" s="331" t="s">
        <v>3916</v>
      </c>
      <c r="B639" s="351" t="s">
        <v>1597</v>
      </c>
      <c r="C639" s="351" t="s">
        <v>1597</v>
      </c>
      <c r="D639" s="351" t="s">
        <v>1597</v>
      </c>
      <c r="E639" s="351" t="s">
        <v>1597</v>
      </c>
      <c r="F639" s="351" t="s">
        <v>1597</v>
      </c>
      <c r="G639" s="288"/>
      <c r="H639" s="288"/>
      <c r="I639" s="311"/>
      <c r="J639" s="288"/>
      <c r="K639" s="288"/>
      <c r="L639" s="288"/>
      <c r="M639" s="288"/>
      <c r="N639" s="288"/>
      <c r="O639" s="288"/>
      <c r="P639" s="288"/>
      <c r="Q639" s="288"/>
      <c r="R639" s="305"/>
      <c r="S639" s="288"/>
      <c r="T639" s="326"/>
      <c r="U639" s="338"/>
    </row>
    <row r="640" spans="1:21" ht="60">
      <c r="A640" s="333" t="s">
        <v>3917</v>
      </c>
      <c r="B640" s="87" t="s">
        <v>2974</v>
      </c>
      <c r="C640" s="87" t="s">
        <v>3266</v>
      </c>
      <c r="D640" s="290" t="s">
        <v>1472</v>
      </c>
      <c r="E640" s="87" t="s">
        <v>25</v>
      </c>
      <c r="F640" s="284">
        <v>1120.6000000000001</v>
      </c>
      <c r="G640" s="291">
        <v>60.07</v>
      </c>
      <c r="H640" s="291">
        <f>ROUND((G640*F640),2)</f>
        <v>67314.44</v>
      </c>
      <c r="I640" s="309">
        <f t="shared" si="158"/>
        <v>1.6446921289545978E-3</v>
      </c>
      <c r="J640" s="291"/>
      <c r="K640" s="291"/>
      <c r="L640" s="291"/>
      <c r="M640" s="291"/>
      <c r="N640" s="291"/>
      <c r="O640" s="291"/>
      <c r="P640" s="291"/>
      <c r="Q640" s="291"/>
      <c r="R640" s="306">
        <v>0</v>
      </c>
      <c r="S640" s="291">
        <f t="shared" ref="S640" si="177">ROUND((R640*P640),2)</f>
        <v>0</v>
      </c>
      <c r="T640" s="327">
        <f t="shared" si="159"/>
        <v>1120.6000000000001</v>
      </c>
      <c r="U640" s="334">
        <f t="shared" si="160"/>
        <v>67314.44200000001</v>
      </c>
    </row>
    <row r="641" spans="1:21">
      <c r="A641" s="336"/>
      <c r="B641" s="293"/>
      <c r="C641" s="293"/>
      <c r="D641" s="294" t="s">
        <v>2593</v>
      </c>
      <c r="E641" s="293"/>
      <c r="F641" s="316"/>
      <c r="G641" s="295">
        <v>0</v>
      </c>
      <c r="H641" s="296">
        <f>SUM(H640)</f>
        <v>67314.44</v>
      </c>
      <c r="I641" s="310">
        <f t="shared" si="158"/>
        <v>1.6446921289545978E-3</v>
      </c>
      <c r="J641" s="296"/>
      <c r="K641" s="296"/>
      <c r="L641" s="296"/>
      <c r="M641" s="296"/>
      <c r="N641" s="296"/>
      <c r="O641" s="296"/>
      <c r="P641" s="296"/>
      <c r="Q641" s="296"/>
      <c r="R641" s="307"/>
      <c r="S641" s="296">
        <f>SUM(S640)</f>
        <v>0</v>
      </c>
      <c r="T641" s="329"/>
      <c r="U641" s="337">
        <f t="shared" ref="U641" si="178">SUM(U640)</f>
        <v>67314.44200000001</v>
      </c>
    </row>
    <row r="642" spans="1:21">
      <c r="A642" s="331" t="s">
        <v>3918</v>
      </c>
      <c r="B642" s="351" t="s">
        <v>3267</v>
      </c>
      <c r="C642" s="351" t="s">
        <v>3267</v>
      </c>
      <c r="D642" s="351" t="s">
        <v>3267</v>
      </c>
      <c r="E642" s="351" t="s">
        <v>3267</v>
      </c>
      <c r="F642" s="351" t="s">
        <v>3267</v>
      </c>
      <c r="G642" s="288"/>
      <c r="H642" s="288"/>
      <c r="I642" s="311"/>
      <c r="J642" s="288"/>
      <c r="K642" s="288"/>
      <c r="L642" s="288"/>
      <c r="M642" s="288"/>
      <c r="N642" s="288"/>
      <c r="O642" s="288"/>
      <c r="P642" s="288"/>
      <c r="Q642" s="288"/>
      <c r="R642" s="305"/>
      <c r="S642" s="288"/>
      <c r="T642" s="326"/>
      <c r="U642" s="338"/>
    </row>
    <row r="643" spans="1:21">
      <c r="A643" s="331" t="s">
        <v>3919</v>
      </c>
      <c r="B643" s="351" t="s">
        <v>1600</v>
      </c>
      <c r="C643" s="351" t="s">
        <v>1600</v>
      </c>
      <c r="D643" s="351" t="s">
        <v>1600</v>
      </c>
      <c r="E643" s="351" t="s">
        <v>1600</v>
      </c>
      <c r="F643" s="351" t="s">
        <v>1600</v>
      </c>
      <c r="G643" s="288"/>
      <c r="H643" s="288"/>
      <c r="I643" s="311"/>
      <c r="J643" s="288"/>
      <c r="K643" s="288"/>
      <c r="L643" s="288"/>
      <c r="M643" s="288"/>
      <c r="N643" s="288"/>
      <c r="O643" s="288"/>
      <c r="P643" s="288"/>
      <c r="Q643" s="288"/>
      <c r="R643" s="305"/>
      <c r="S643" s="288"/>
      <c r="T643" s="326"/>
      <c r="U643" s="338"/>
    </row>
    <row r="644" spans="1:21" ht="45">
      <c r="A644" s="333" t="s">
        <v>3920</v>
      </c>
      <c r="B644" s="87" t="s">
        <v>133</v>
      </c>
      <c r="C644" s="87" t="s">
        <v>3268</v>
      </c>
      <c r="D644" s="290" t="s">
        <v>3269</v>
      </c>
      <c r="E644" s="87" t="s">
        <v>25</v>
      </c>
      <c r="F644" s="284">
        <v>46.489999999999995</v>
      </c>
      <c r="G644" s="291">
        <v>67.209999999999994</v>
      </c>
      <c r="H644" s="291">
        <f>ROUND((G644*F644),2)</f>
        <v>3124.59</v>
      </c>
      <c r="I644" s="309">
        <f t="shared" si="158"/>
        <v>7.6343033964335831E-5</v>
      </c>
      <c r="J644" s="291"/>
      <c r="K644" s="291"/>
      <c r="L644" s="291"/>
      <c r="M644" s="291"/>
      <c r="N644" s="291"/>
      <c r="O644" s="291"/>
      <c r="P644" s="291"/>
      <c r="Q644" s="291"/>
      <c r="R644" s="306">
        <v>0</v>
      </c>
      <c r="S644" s="291">
        <f t="shared" ref="S644:S648" si="179">ROUND((R644*P644),2)</f>
        <v>0</v>
      </c>
      <c r="T644" s="327">
        <f t="shared" si="159"/>
        <v>46.489999999999995</v>
      </c>
      <c r="U644" s="334">
        <f t="shared" si="160"/>
        <v>3124.5928999999992</v>
      </c>
    </row>
    <row r="645" spans="1:21" ht="60">
      <c r="A645" s="333" t="s">
        <v>3921</v>
      </c>
      <c r="B645" s="87" t="s">
        <v>133</v>
      </c>
      <c r="C645" s="87" t="s">
        <v>3270</v>
      </c>
      <c r="D645" s="290" t="s">
        <v>3271</v>
      </c>
      <c r="E645" s="87" t="s">
        <v>25</v>
      </c>
      <c r="F645" s="284">
        <v>99.06</v>
      </c>
      <c r="G645" s="291">
        <v>47.54</v>
      </c>
      <c r="H645" s="291">
        <f>ROUND((G645*F645),2)</f>
        <v>4709.3100000000004</v>
      </c>
      <c r="I645" s="309">
        <f t="shared" si="158"/>
        <v>1.1506246044395789E-4</v>
      </c>
      <c r="J645" s="291"/>
      <c r="K645" s="291"/>
      <c r="L645" s="291"/>
      <c r="M645" s="291"/>
      <c r="N645" s="291"/>
      <c r="O645" s="291"/>
      <c r="P645" s="291"/>
      <c r="Q645" s="291"/>
      <c r="R645" s="306">
        <v>0</v>
      </c>
      <c r="S645" s="291">
        <f t="shared" si="179"/>
        <v>0</v>
      </c>
      <c r="T645" s="327">
        <f t="shared" si="159"/>
        <v>99.06</v>
      </c>
      <c r="U645" s="334">
        <f t="shared" si="160"/>
        <v>4709.3123999999998</v>
      </c>
    </row>
    <row r="646" spans="1:21" ht="30">
      <c r="A646" s="333" t="s">
        <v>3922</v>
      </c>
      <c r="B646" s="87" t="s">
        <v>133</v>
      </c>
      <c r="C646" s="87" t="s">
        <v>3272</v>
      </c>
      <c r="D646" s="290" t="s">
        <v>3273</v>
      </c>
      <c r="E646" s="87" t="s">
        <v>193</v>
      </c>
      <c r="F646" s="284">
        <v>1423.55</v>
      </c>
      <c r="G646" s="291">
        <v>2.34</v>
      </c>
      <c r="H646" s="291">
        <f>ROUND((G646*F646),2)</f>
        <v>3331.11</v>
      </c>
      <c r="I646" s="309">
        <f t="shared" si="158"/>
        <v>8.1388932265973689E-5</v>
      </c>
      <c r="J646" s="291"/>
      <c r="K646" s="291"/>
      <c r="L646" s="291"/>
      <c r="M646" s="291"/>
      <c r="N646" s="291"/>
      <c r="O646" s="291"/>
      <c r="P646" s="291"/>
      <c r="Q646" s="291"/>
      <c r="R646" s="306"/>
      <c r="S646" s="291">
        <f t="shared" si="179"/>
        <v>0</v>
      </c>
      <c r="T646" s="327">
        <f t="shared" si="159"/>
        <v>1423.55</v>
      </c>
      <c r="U646" s="334">
        <f t="shared" si="160"/>
        <v>3331.1069999999995</v>
      </c>
    </row>
    <row r="647" spans="1:21" ht="60">
      <c r="A647" s="333" t="s">
        <v>3923</v>
      </c>
      <c r="B647" s="87" t="s">
        <v>1810</v>
      </c>
      <c r="C647" s="87" t="s">
        <v>3274</v>
      </c>
      <c r="D647" s="290" t="s">
        <v>3275</v>
      </c>
      <c r="E647" s="87" t="s">
        <v>193</v>
      </c>
      <c r="F647" s="284">
        <v>1047.55</v>
      </c>
      <c r="G647" s="291">
        <v>13.68</v>
      </c>
      <c r="H647" s="291">
        <f>ROUND((G647*F647),2)</f>
        <v>14330.48</v>
      </c>
      <c r="I647" s="309">
        <f t="shared" si="158"/>
        <v>3.5013628071690537E-4</v>
      </c>
      <c r="J647" s="291"/>
      <c r="K647" s="291"/>
      <c r="L647" s="291"/>
      <c r="M647" s="291"/>
      <c r="N647" s="291"/>
      <c r="O647" s="291"/>
      <c r="P647" s="291"/>
      <c r="Q647" s="291"/>
      <c r="R647" s="306">
        <v>0</v>
      </c>
      <c r="S647" s="291">
        <f t="shared" si="179"/>
        <v>0</v>
      </c>
      <c r="T647" s="327">
        <f t="shared" si="159"/>
        <v>1047.55</v>
      </c>
      <c r="U647" s="334">
        <f t="shared" si="160"/>
        <v>14330.483999999999</v>
      </c>
    </row>
    <row r="648" spans="1:21" ht="75">
      <c r="A648" s="333" t="s">
        <v>3924</v>
      </c>
      <c r="B648" s="87" t="s">
        <v>133</v>
      </c>
      <c r="C648" s="87">
        <v>102512</v>
      </c>
      <c r="D648" s="290" t="s">
        <v>3276</v>
      </c>
      <c r="E648" s="87" t="s">
        <v>193</v>
      </c>
      <c r="F648" s="284">
        <v>1254.4000000000001</v>
      </c>
      <c r="G648" s="291">
        <v>9.23</v>
      </c>
      <c r="H648" s="291">
        <f>ROUND((G648*F648),2)</f>
        <v>11578.11</v>
      </c>
      <c r="I648" s="309">
        <f t="shared" si="158"/>
        <v>2.8288768925613167E-4</v>
      </c>
      <c r="J648" s="291"/>
      <c r="K648" s="291"/>
      <c r="L648" s="291"/>
      <c r="M648" s="291"/>
      <c r="N648" s="291"/>
      <c r="O648" s="291"/>
      <c r="P648" s="291"/>
      <c r="Q648" s="291"/>
      <c r="R648" s="306">
        <v>0</v>
      </c>
      <c r="S648" s="291">
        <f t="shared" si="179"/>
        <v>0</v>
      </c>
      <c r="T648" s="327">
        <f t="shared" si="159"/>
        <v>1254.4000000000001</v>
      </c>
      <c r="U648" s="334">
        <f t="shared" si="160"/>
        <v>11578.112000000001</v>
      </c>
    </row>
    <row r="649" spans="1:21">
      <c r="A649" s="336"/>
      <c r="B649" s="293"/>
      <c r="C649" s="293"/>
      <c r="D649" s="294" t="s">
        <v>2593</v>
      </c>
      <c r="E649" s="293"/>
      <c r="F649" s="316"/>
      <c r="G649" s="295">
        <v>0</v>
      </c>
      <c r="H649" s="296">
        <f>SUM(H644:H648)</f>
        <v>37073.599999999999</v>
      </c>
      <c r="I649" s="310">
        <f t="shared" si="158"/>
        <v>9.0581839664730438E-4</v>
      </c>
      <c r="J649" s="296"/>
      <c r="K649" s="296"/>
      <c r="L649" s="296"/>
      <c r="M649" s="296"/>
      <c r="N649" s="296"/>
      <c r="O649" s="296"/>
      <c r="P649" s="296"/>
      <c r="Q649" s="296"/>
      <c r="R649" s="307">
        <v>0</v>
      </c>
      <c r="S649" s="296">
        <f>SUM(S644:S648)</f>
        <v>0</v>
      </c>
      <c r="T649" s="329"/>
      <c r="U649" s="337">
        <f t="shared" ref="U649" si="180">SUM(U644:U648)</f>
        <v>37073.6083</v>
      </c>
    </row>
    <row r="650" spans="1:21">
      <c r="A650" s="331">
        <v>20</v>
      </c>
      <c r="B650" s="351" t="s">
        <v>1605</v>
      </c>
      <c r="C650" s="351" t="s">
        <v>1605</v>
      </c>
      <c r="D650" s="351" t="s">
        <v>1605</v>
      </c>
      <c r="E650" s="351" t="s">
        <v>1605</v>
      </c>
      <c r="F650" s="351" t="s">
        <v>1605</v>
      </c>
      <c r="G650" s="288"/>
      <c r="H650" s="288"/>
      <c r="I650" s="311"/>
      <c r="J650" s="288"/>
      <c r="K650" s="288"/>
      <c r="L650" s="288"/>
      <c r="M650" s="288"/>
      <c r="N650" s="288"/>
      <c r="O650" s="288"/>
      <c r="P650" s="288"/>
      <c r="Q650" s="288"/>
      <c r="R650" s="305"/>
      <c r="S650" s="288"/>
      <c r="T650" s="326"/>
      <c r="U650" s="338"/>
    </row>
    <row r="651" spans="1:21">
      <c r="A651" s="331" t="s">
        <v>3925</v>
      </c>
      <c r="B651" s="351" t="s">
        <v>1607</v>
      </c>
      <c r="C651" s="351" t="s">
        <v>1607</v>
      </c>
      <c r="D651" s="351" t="s">
        <v>1607</v>
      </c>
      <c r="E651" s="351" t="s">
        <v>1607</v>
      </c>
      <c r="F651" s="351" t="s">
        <v>1607</v>
      </c>
      <c r="G651" s="288"/>
      <c r="H651" s="288"/>
      <c r="I651" s="311"/>
      <c r="J651" s="288"/>
      <c r="K651" s="288"/>
      <c r="L651" s="288"/>
      <c r="M651" s="288"/>
      <c r="N651" s="288"/>
      <c r="O651" s="288"/>
      <c r="P651" s="288"/>
      <c r="Q651" s="288"/>
      <c r="R651" s="305"/>
      <c r="S651" s="288"/>
      <c r="T651" s="326"/>
      <c r="U651" s="338"/>
    </row>
    <row r="652" spans="1:21" ht="75">
      <c r="A652" s="333" t="s">
        <v>3926</v>
      </c>
      <c r="B652" s="87" t="s">
        <v>1810</v>
      </c>
      <c r="C652" s="87" t="s">
        <v>3277</v>
      </c>
      <c r="D652" s="290" t="s">
        <v>3278</v>
      </c>
      <c r="E652" s="87" t="s">
        <v>193</v>
      </c>
      <c r="F652" s="284">
        <v>3.3</v>
      </c>
      <c r="G652" s="291">
        <v>491.46</v>
      </c>
      <c r="H652" s="291">
        <f>ROUND((G652*F652),2)</f>
        <v>1621.82</v>
      </c>
      <c r="I652" s="309">
        <f t="shared" ref="I652:I714" si="181">H652/$H$741</f>
        <v>3.9625889906848299E-5</v>
      </c>
      <c r="J652" s="291"/>
      <c r="K652" s="291"/>
      <c r="L652" s="291"/>
      <c r="M652" s="291"/>
      <c r="N652" s="291"/>
      <c r="O652" s="291"/>
      <c r="P652" s="291"/>
      <c r="Q652" s="291"/>
      <c r="R652" s="306">
        <v>0</v>
      </c>
      <c r="S652" s="291">
        <f t="shared" ref="S652:S656" si="182">ROUND((R652*P652),2)</f>
        <v>0</v>
      </c>
      <c r="T652" s="327">
        <f t="shared" ref="T652:T713" si="183">F652-R652</f>
        <v>3.3</v>
      </c>
      <c r="U652" s="334">
        <f t="shared" ref="U652:U713" si="184">T652*G652</f>
        <v>1621.8179999999998</v>
      </c>
    </row>
    <row r="653" spans="1:21" ht="60">
      <c r="A653" s="333" t="s">
        <v>3927</v>
      </c>
      <c r="B653" s="87" t="s">
        <v>1810</v>
      </c>
      <c r="C653" s="87" t="s">
        <v>3279</v>
      </c>
      <c r="D653" s="290" t="s">
        <v>3280</v>
      </c>
      <c r="E653" s="87" t="s">
        <v>243</v>
      </c>
      <c r="F653" s="284">
        <v>311.27000000000004</v>
      </c>
      <c r="G653" s="291">
        <v>232.75</v>
      </c>
      <c r="H653" s="291">
        <f>ROUND((G653*F653),2)</f>
        <v>72448.09</v>
      </c>
      <c r="I653" s="309">
        <f t="shared" si="181"/>
        <v>1.7701224786359998E-3</v>
      </c>
      <c r="J653" s="291"/>
      <c r="K653" s="291"/>
      <c r="L653" s="291"/>
      <c r="M653" s="291"/>
      <c r="N653" s="291"/>
      <c r="O653" s="291"/>
      <c r="P653" s="291"/>
      <c r="Q653" s="291"/>
      <c r="R653" s="306">
        <v>0</v>
      </c>
      <c r="S653" s="291">
        <f t="shared" si="182"/>
        <v>0</v>
      </c>
      <c r="T653" s="327">
        <f t="shared" si="183"/>
        <v>311.27000000000004</v>
      </c>
      <c r="U653" s="334">
        <f t="shared" si="184"/>
        <v>72448.092500000013</v>
      </c>
    </row>
    <row r="654" spans="1:21" ht="30">
      <c r="A654" s="333" t="s">
        <v>3928</v>
      </c>
      <c r="B654" s="87" t="s">
        <v>1810</v>
      </c>
      <c r="C654" s="315" t="s">
        <v>1851</v>
      </c>
      <c r="D654" s="292" t="s">
        <v>1852</v>
      </c>
      <c r="E654" s="87" t="s">
        <v>243</v>
      </c>
      <c r="F654" s="284">
        <v>21.24</v>
      </c>
      <c r="G654" s="291">
        <v>1009.01</v>
      </c>
      <c r="H654" s="291">
        <f>ROUND((G654*F654),2)</f>
        <v>21431.37</v>
      </c>
      <c r="I654" s="309">
        <f t="shared" si="181"/>
        <v>5.2363215903918525E-4</v>
      </c>
      <c r="J654" s="291"/>
      <c r="K654" s="291"/>
      <c r="L654" s="291"/>
      <c r="M654" s="291"/>
      <c r="N654" s="291"/>
      <c r="O654" s="291"/>
      <c r="P654" s="291"/>
      <c r="Q654" s="291"/>
      <c r="R654" s="306">
        <v>0</v>
      </c>
      <c r="S654" s="291">
        <f t="shared" si="182"/>
        <v>0</v>
      </c>
      <c r="T654" s="327">
        <f t="shared" si="183"/>
        <v>21.24</v>
      </c>
      <c r="U654" s="334">
        <f t="shared" si="184"/>
        <v>21431.372399999997</v>
      </c>
    </row>
    <row r="655" spans="1:21" ht="75">
      <c r="A655" s="333" t="s">
        <v>3929</v>
      </c>
      <c r="B655" s="87" t="s">
        <v>1810</v>
      </c>
      <c r="C655" s="87" t="s">
        <v>3277</v>
      </c>
      <c r="D655" s="290" t="s">
        <v>3278</v>
      </c>
      <c r="E655" s="87" t="s">
        <v>193</v>
      </c>
      <c r="F655" s="284">
        <v>515.49</v>
      </c>
      <c r="G655" s="291">
        <v>491.46</v>
      </c>
      <c r="H655" s="291">
        <f>ROUND((G655*F655),2)</f>
        <v>253342.72</v>
      </c>
      <c r="I655" s="309">
        <f t="shared" si="181"/>
        <v>6.1899167178980996E-3</v>
      </c>
      <c r="J655" s="291"/>
      <c r="K655" s="291"/>
      <c r="L655" s="291"/>
      <c r="M655" s="291"/>
      <c r="N655" s="291"/>
      <c r="O655" s="291"/>
      <c r="P655" s="291"/>
      <c r="Q655" s="291"/>
      <c r="R655" s="306">
        <v>0</v>
      </c>
      <c r="S655" s="291">
        <f t="shared" si="182"/>
        <v>0</v>
      </c>
      <c r="T655" s="327">
        <f t="shared" si="183"/>
        <v>515.49</v>
      </c>
      <c r="U655" s="334">
        <f t="shared" si="184"/>
        <v>253342.71539999999</v>
      </c>
    </row>
    <row r="656" spans="1:21">
      <c r="A656" s="333" t="s">
        <v>3930</v>
      </c>
      <c r="B656" s="87" t="s">
        <v>2649</v>
      </c>
      <c r="C656" s="87" t="s">
        <v>3281</v>
      </c>
      <c r="D656" s="290" t="s">
        <v>3282</v>
      </c>
      <c r="E656" s="87" t="s">
        <v>243</v>
      </c>
      <c r="F656" s="284">
        <v>309.29000000000002</v>
      </c>
      <c r="G656" s="291">
        <v>170.37</v>
      </c>
      <c r="H656" s="291">
        <f>ROUND((G656*F656),2)</f>
        <v>52693.74</v>
      </c>
      <c r="I656" s="309">
        <f t="shared" si="181"/>
        <v>1.2874649098050886E-3</v>
      </c>
      <c r="J656" s="291"/>
      <c r="K656" s="291"/>
      <c r="L656" s="291"/>
      <c r="M656" s="291"/>
      <c r="N656" s="291"/>
      <c r="O656" s="291"/>
      <c r="P656" s="291"/>
      <c r="Q656" s="291"/>
      <c r="R656" s="306"/>
      <c r="S656" s="291">
        <f t="shared" si="182"/>
        <v>0</v>
      </c>
      <c r="T656" s="327">
        <f t="shared" si="183"/>
        <v>309.29000000000002</v>
      </c>
      <c r="U656" s="334">
        <f t="shared" si="184"/>
        <v>52693.737300000008</v>
      </c>
    </row>
    <row r="657" spans="1:21">
      <c r="A657" s="336"/>
      <c r="B657" s="293"/>
      <c r="C657" s="293"/>
      <c r="D657" s="294" t="s">
        <v>2593</v>
      </c>
      <c r="E657" s="293"/>
      <c r="F657" s="316"/>
      <c r="G657" s="295">
        <v>0</v>
      </c>
      <c r="H657" s="296">
        <f>SUM(H652:H656)</f>
        <v>401537.74</v>
      </c>
      <c r="I657" s="310">
        <f t="shared" si="181"/>
        <v>9.8107621552852211E-3</v>
      </c>
      <c r="J657" s="296"/>
      <c r="K657" s="296"/>
      <c r="L657" s="296"/>
      <c r="M657" s="296"/>
      <c r="N657" s="296"/>
      <c r="O657" s="296"/>
      <c r="P657" s="296"/>
      <c r="Q657" s="296"/>
      <c r="R657" s="307">
        <v>0</v>
      </c>
      <c r="S657" s="296">
        <f>SUM(S652:S656)</f>
        <v>0</v>
      </c>
      <c r="T657" s="329">
        <f t="shared" ref="T657:U657" si="185">SUM(T652:T656)</f>
        <v>1160.5900000000001</v>
      </c>
      <c r="U657" s="337">
        <f t="shared" si="185"/>
        <v>401537.73560000001</v>
      </c>
    </row>
    <row r="658" spans="1:21">
      <c r="A658" s="331" t="s">
        <v>3931</v>
      </c>
      <c r="B658" s="351" t="s">
        <v>1624</v>
      </c>
      <c r="C658" s="351" t="s">
        <v>1624</v>
      </c>
      <c r="D658" s="351" t="s">
        <v>1624</v>
      </c>
      <c r="E658" s="351" t="s">
        <v>1624</v>
      </c>
      <c r="F658" s="351" t="s">
        <v>1624</v>
      </c>
      <c r="G658" s="288"/>
      <c r="H658" s="288"/>
      <c r="I658" s="311"/>
      <c r="J658" s="288"/>
      <c r="K658" s="288"/>
      <c r="L658" s="288"/>
      <c r="M658" s="288"/>
      <c r="N658" s="288"/>
      <c r="O658" s="288"/>
      <c r="P658" s="288"/>
      <c r="Q658" s="288"/>
      <c r="R658" s="305"/>
      <c r="S658" s="288"/>
      <c r="T658" s="326"/>
      <c r="U658" s="338"/>
    </row>
    <row r="659" spans="1:21" ht="45">
      <c r="A659" s="333" t="s">
        <v>3932</v>
      </c>
      <c r="B659" s="87" t="s">
        <v>1810</v>
      </c>
      <c r="C659" s="87" t="s">
        <v>3283</v>
      </c>
      <c r="D659" s="290" t="s">
        <v>3284</v>
      </c>
      <c r="E659" s="87" t="s">
        <v>193</v>
      </c>
      <c r="F659" s="284">
        <v>1423.55</v>
      </c>
      <c r="G659" s="291">
        <v>87.95</v>
      </c>
      <c r="H659" s="291">
        <f t="shared" ref="H659:H664" si="186">ROUND((G659*F659),2)</f>
        <v>125201.22</v>
      </c>
      <c r="I659" s="309">
        <f t="shared" si="181"/>
        <v>3.0590384629139446E-3</v>
      </c>
      <c r="J659" s="291"/>
      <c r="K659" s="291"/>
      <c r="L659" s="291"/>
      <c r="M659" s="291"/>
      <c r="N659" s="291"/>
      <c r="O659" s="291"/>
      <c r="P659" s="291"/>
      <c r="Q659" s="291"/>
      <c r="R659" s="306"/>
      <c r="S659" s="291">
        <f t="shared" ref="S659:S664" si="187">ROUND((R659*P659),2)</f>
        <v>0</v>
      </c>
      <c r="T659" s="327">
        <f t="shared" si="183"/>
        <v>1423.55</v>
      </c>
      <c r="U659" s="334">
        <f t="shared" si="184"/>
        <v>125201.2225</v>
      </c>
    </row>
    <row r="660" spans="1:21" ht="60">
      <c r="A660" s="333" t="s">
        <v>3933</v>
      </c>
      <c r="B660" s="87" t="s">
        <v>1810</v>
      </c>
      <c r="C660" s="87" t="s">
        <v>3285</v>
      </c>
      <c r="D660" s="290" t="s">
        <v>546</v>
      </c>
      <c r="E660" s="87" t="s">
        <v>193</v>
      </c>
      <c r="F660" s="284">
        <v>1423.55</v>
      </c>
      <c r="G660" s="291">
        <v>342.23</v>
      </c>
      <c r="H660" s="291">
        <f t="shared" si="186"/>
        <v>487181.52</v>
      </c>
      <c r="I660" s="309">
        <f t="shared" si="181"/>
        <v>1.1903294617263947E-2</v>
      </c>
      <c r="J660" s="291"/>
      <c r="K660" s="291"/>
      <c r="L660" s="291"/>
      <c r="M660" s="291"/>
      <c r="N660" s="291"/>
      <c r="O660" s="291"/>
      <c r="P660" s="291"/>
      <c r="Q660" s="291"/>
      <c r="R660" s="306">
        <v>0</v>
      </c>
      <c r="S660" s="291">
        <f t="shared" si="187"/>
        <v>0</v>
      </c>
      <c r="T660" s="327">
        <f t="shared" si="183"/>
        <v>1423.55</v>
      </c>
      <c r="U660" s="334">
        <f t="shared" si="184"/>
        <v>487181.51650000003</v>
      </c>
    </row>
    <row r="661" spans="1:21" ht="90">
      <c r="A661" s="333" t="s">
        <v>3934</v>
      </c>
      <c r="B661" s="87" t="s">
        <v>1810</v>
      </c>
      <c r="C661" s="87" t="s">
        <v>3286</v>
      </c>
      <c r="D661" s="290" t="s">
        <v>3287</v>
      </c>
      <c r="E661" s="87" t="s">
        <v>193</v>
      </c>
      <c r="F661" s="284">
        <v>5635.83</v>
      </c>
      <c r="G661" s="291">
        <v>171.23</v>
      </c>
      <c r="H661" s="291">
        <f t="shared" si="186"/>
        <v>965023.17</v>
      </c>
      <c r="I661" s="309">
        <f t="shared" si="181"/>
        <v>2.3578388410537394E-2</v>
      </c>
      <c r="J661" s="291"/>
      <c r="K661" s="291"/>
      <c r="L661" s="291"/>
      <c r="M661" s="291"/>
      <c r="N661" s="291"/>
      <c r="O661" s="291"/>
      <c r="P661" s="291"/>
      <c r="Q661" s="291"/>
      <c r="R661" s="306">
        <v>0</v>
      </c>
      <c r="S661" s="291">
        <f t="shared" si="187"/>
        <v>0</v>
      </c>
      <c r="T661" s="327">
        <f t="shared" si="183"/>
        <v>5635.83</v>
      </c>
      <c r="U661" s="334">
        <f t="shared" si="184"/>
        <v>965023.17089999991</v>
      </c>
    </row>
    <row r="662" spans="1:21" ht="30">
      <c r="A662" s="333" t="s">
        <v>3935</v>
      </c>
      <c r="B662" s="87" t="s">
        <v>2649</v>
      </c>
      <c r="C662" s="87" t="s">
        <v>3288</v>
      </c>
      <c r="D662" s="290" t="s">
        <v>3289</v>
      </c>
      <c r="E662" s="87" t="s">
        <v>243</v>
      </c>
      <c r="F662" s="284">
        <v>93.76</v>
      </c>
      <c r="G662" s="291">
        <v>569.32000000000005</v>
      </c>
      <c r="H662" s="291">
        <f t="shared" si="186"/>
        <v>53379.44</v>
      </c>
      <c r="I662" s="309">
        <f t="shared" si="181"/>
        <v>1.3042186017740653E-3</v>
      </c>
      <c r="J662" s="291"/>
      <c r="K662" s="291"/>
      <c r="L662" s="291"/>
      <c r="M662" s="291"/>
      <c r="N662" s="291"/>
      <c r="O662" s="291"/>
      <c r="P662" s="291"/>
      <c r="Q662" s="291"/>
      <c r="R662" s="306">
        <v>0</v>
      </c>
      <c r="S662" s="291">
        <f t="shared" si="187"/>
        <v>0</v>
      </c>
      <c r="T662" s="327">
        <f t="shared" si="183"/>
        <v>93.76</v>
      </c>
      <c r="U662" s="334">
        <f t="shared" si="184"/>
        <v>53379.443200000009</v>
      </c>
    </row>
    <row r="663" spans="1:21" ht="60">
      <c r="A663" s="333" t="s">
        <v>3936</v>
      </c>
      <c r="B663" s="87" t="s">
        <v>1810</v>
      </c>
      <c r="C663" s="87" t="s">
        <v>3290</v>
      </c>
      <c r="D663" s="290" t="s">
        <v>3291</v>
      </c>
      <c r="E663" s="87" t="s">
        <v>243</v>
      </c>
      <c r="F663" s="284">
        <v>156.13</v>
      </c>
      <c r="G663" s="291">
        <v>114.67</v>
      </c>
      <c r="H663" s="291">
        <f t="shared" si="186"/>
        <v>17903.43</v>
      </c>
      <c r="I663" s="309">
        <f t="shared" si="181"/>
        <v>4.3743408401361751E-4</v>
      </c>
      <c r="J663" s="291"/>
      <c r="K663" s="291"/>
      <c r="L663" s="291"/>
      <c r="M663" s="291"/>
      <c r="N663" s="291"/>
      <c r="O663" s="291"/>
      <c r="P663" s="291"/>
      <c r="Q663" s="291"/>
      <c r="R663" s="306"/>
      <c r="S663" s="291">
        <f t="shared" si="187"/>
        <v>0</v>
      </c>
      <c r="T663" s="327">
        <f t="shared" si="183"/>
        <v>156.13</v>
      </c>
      <c r="U663" s="334">
        <f t="shared" si="184"/>
        <v>17903.427100000001</v>
      </c>
    </row>
    <row r="664" spans="1:21" ht="45">
      <c r="A664" s="333" t="s">
        <v>3937</v>
      </c>
      <c r="B664" s="87" t="s">
        <v>133</v>
      </c>
      <c r="C664" s="87" t="s">
        <v>3292</v>
      </c>
      <c r="D664" s="290" t="s">
        <v>3293</v>
      </c>
      <c r="E664" s="87" t="s">
        <v>243</v>
      </c>
      <c r="F664" s="284">
        <v>276.62650000000002</v>
      </c>
      <c r="G664" s="291">
        <v>2127.38</v>
      </c>
      <c r="H664" s="291">
        <f t="shared" si="186"/>
        <v>588489.68000000005</v>
      </c>
      <c r="I664" s="309">
        <f t="shared" si="181"/>
        <v>1.4378554507279716E-2</v>
      </c>
      <c r="J664" s="291"/>
      <c r="K664" s="291"/>
      <c r="L664" s="291"/>
      <c r="M664" s="291"/>
      <c r="N664" s="291"/>
      <c r="O664" s="291"/>
      <c r="P664" s="291"/>
      <c r="Q664" s="291"/>
      <c r="R664" s="306"/>
      <c r="S664" s="291">
        <f t="shared" si="187"/>
        <v>0</v>
      </c>
      <c r="T664" s="327">
        <f t="shared" si="183"/>
        <v>276.62650000000002</v>
      </c>
      <c r="U664" s="334">
        <f t="shared" si="184"/>
        <v>588489.68357000011</v>
      </c>
    </row>
    <row r="665" spans="1:21">
      <c r="A665" s="336"/>
      <c r="B665" s="293"/>
      <c r="C665" s="293"/>
      <c r="D665" s="294" t="s">
        <v>2593</v>
      </c>
      <c r="E665" s="293"/>
      <c r="F665" s="316"/>
      <c r="G665" s="295">
        <v>0</v>
      </c>
      <c r="H665" s="296">
        <f>SUM(H659:H664)</f>
        <v>2237178.46</v>
      </c>
      <c r="I665" s="310">
        <f t="shared" si="181"/>
        <v>5.4660928683782681E-2</v>
      </c>
      <c r="J665" s="296"/>
      <c r="K665" s="296"/>
      <c r="L665" s="296"/>
      <c r="M665" s="296"/>
      <c r="N665" s="296"/>
      <c r="O665" s="296"/>
      <c r="P665" s="296"/>
      <c r="Q665" s="296"/>
      <c r="R665" s="307"/>
      <c r="S665" s="296">
        <f>SUM(S659:S664)</f>
        <v>0</v>
      </c>
      <c r="T665" s="329"/>
      <c r="U665" s="337">
        <f t="shared" ref="U665" si="188">SUM(U659:U664)</f>
        <v>2237178.4637700003</v>
      </c>
    </row>
    <row r="666" spans="1:21">
      <c r="A666" s="331" t="s">
        <v>3938</v>
      </c>
      <c r="B666" s="351" t="s">
        <v>1638</v>
      </c>
      <c r="C666" s="351" t="s">
        <v>1638</v>
      </c>
      <c r="D666" s="351" t="s">
        <v>1638</v>
      </c>
      <c r="E666" s="351" t="s">
        <v>1638</v>
      </c>
      <c r="F666" s="351" t="s">
        <v>1638</v>
      </c>
      <c r="G666" s="288"/>
      <c r="H666" s="288"/>
      <c r="I666" s="311"/>
      <c r="J666" s="288"/>
      <c r="K666" s="288"/>
      <c r="L666" s="288"/>
      <c r="M666" s="288"/>
      <c r="N666" s="288"/>
      <c r="O666" s="288"/>
      <c r="P666" s="288"/>
      <c r="Q666" s="288"/>
      <c r="R666" s="305"/>
      <c r="S666" s="288"/>
      <c r="T666" s="326"/>
      <c r="U666" s="338"/>
    </row>
    <row r="667" spans="1:21" ht="30">
      <c r="A667" s="333" t="s">
        <v>3939</v>
      </c>
      <c r="B667" s="87" t="s">
        <v>1810</v>
      </c>
      <c r="C667" s="87" t="s">
        <v>3294</v>
      </c>
      <c r="D667" s="290" t="s">
        <v>3295</v>
      </c>
      <c r="E667" s="87" t="s">
        <v>243</v>
      </c>
      <c r="F667" s="284">
        <v>525.95000000000005</v>
      </c>
      <c r="G667" s="291">
        <v>37.97</v>
      </c>
      <c r="H667" s="291">
        <f>ROUND((G667*F667),2)</f>
        <v>19970.32</v>
      </c>
      <c r="I667" s="309">
        <f t="shared" si="181"/>
        <v>4.87934358760239E-4</v>
      </c>
      <c r="J667" s="291"/>
      <c r="K667" s="291"/>
      <c r="L667" s="291"/>
      <c r="M667" s="291"/>
      <c r="N667" s="291"/>
      <c r="O667" s="291"/>
      <c r="P667" s="291"/>
      <c r="Q667" s="291"/>
      <c r="R667" s="306"/>
      <c r="S667" s="291">
        <f t="shared" ref="S667:S670" si="189">ROUND((R667*P667),2)</f>
        <v>0</v>
      </c>
      <c r="T667" s="327">
        <f t="shared" si="183"/>
        <v>525.95000000000005</v>
      </c>
      <c r="U667" s="334">
        <f t="shared" si="184"/>
        <v>19970.321500000002</v>
      </c>
    </row>
    <row r="668" spans="1:21" ht="45">
      <c r="A668" s="333" t="s">
        <v>3940</v>
      </c>
      <c r="B668" s="87" t="s">
        <v>133</v>
      </c>
      <c r="C668" s="87" t="s">
        <v>3296</v>
      </c>
      <c r="D668" s="290" t="s">
        <v>3297</v>
      </c>
      <c r="E668" s="87" t="s">
        <v>202</v>
      </c>
      <c r="F668" s="284">
        <v>207</v>
      </c>
      <c r="G668" s="291">
        <v>210.11</v>
      </c>
      <c r="H668" s="291">
        <f>ROUND((G668*F668),2)</f>
        <v>43492.77</v>
      </c>
      <c r="I668" s="309">
        <f t="shared" si="181"/>
        <v>1.0626578262469784E-3</v>
      </c>
      <c r="J668" s="291"/>
      <c r="K668" s="291"/>
      <c r="L668" s="291"/>
      <c r="M668" s="291"/>
      <c r="N668" s="291"/>
      <c r="O668" s="291"/>
      <c r="P668" s="291"/>
      <c r="Q668" s="291"/>
      <c r="R668" s="306">
        <v>0</v>
      </c>
      <c r="S668" s="291">
        <f t="shared" si="189"/>
        <v>0</v>
      </c>
      <c r="T668" s="327">
        <f t="shared" si="183"/>
        <v>207</v>
      </c>
      <c r="U668" s="334">
        <f t="shared" si="184"/>
        <v>43492.770000000004</v>
      </c>
    </row>
    <row r="669" spans="1:21" ht="30">
      <c r="A669" s="333" t="s">
        <v>3941</v>
      </c>
      <c r="B669" s="87" t="s">
        <v>2649</v>
      </c>
      <c r="C669" s="87" t="s">
        <v>3298</v>
      </c>
      <c r="D669" s="290" t="s">
        <v>3299</v>
      </c>
      <c r="E669" s="87" t="s">
        <v>202</v>
      </c>
      <c r="F669" s="284">
        <v>19</v>
      </c>
      <c r="G669" s="291">
        <v>226.99</v>
      </c>
      <c r="H669" s="291">
        <f>ROUND((G669*F669),2)</f>
        <v>4312.8100000000004</v>
      </c>
      <c r="I669" s="309">
        <f t="shared" si="181"/>
        <v>1.0537478527158034E-4</v>
      </c>
      <c r="J669" s="291"/>
      <c r="K669" s="291"/>
      <c r="L669" s="291"/>
      <c r="M669" s="291"/>
      <c r="N669" s="291"/>
      <c r="O669" s="291"/>
      <c r="P669" s="291"/>
      <c r="Q669" s="291"/>
      <c r="R669" s="306">
        <v>0</v>
      </c>
      <c r="S669" s="291">
        <f t="shared" si="189"/>
        <v>0</v>
      </c>
      <c r="T669" s="327">
        <f t="shared" si="183"/>
        <v>19</v>
      </c>
      <c r="U669" s="334">
        <f t="shared" si="184"/>
        <v>4312.8100000000004</v>
      </c>
    </row>
    <row r="670" spans="1:21" ht="30">
      <c r="A670" s="333" t="s">
        <v>3942</v>
      </c>
      <c r="B670" s="87" t="s">
        <v>133</v>
      </c>
      <c r="C670" s="87" t="s">
        <v>3300</v>
      </c>
      <c r="D670" s="290" t="s">
        <v>3301</v>
      </c>
      <c r="E670" s="87" t="s">
        <v>243</v>
      </c>
      <c r="F670" s="284">
        <v>251.64</v>
      </c>
      <c r="G670" s="291">
        <v>30.05</v>
      </c>
      <c r="H670" s="291">
        <f>ROUND((G670*F670),2)</f>
        <v>7561.78</v>
      </c>
      <c r="I670" s="309">
        <f t="shared" si="181"/>
        <v>1.8475679284988923E-4</v>
      </c>
      <c r="J670" s="291"/>
      <c r="K670" s="291"/>
      <c r="L670" s="291"/>
      <c r="M670" s="291"/>
      <c r="N670" s="291"/>
      <c r="O670" s="291"/>
      <c r="P670" s="291"/>
      <c r="Q670" s="291"/>
      <c r="R670" s="306">
        <v>0</v>
      </c>
      <c r="S670" s="291">
        <f t="shared" si="189"/>
        <v>0</v>
      </c>
      <c r="T670" s="327">
        <f t="shared" si="183"/>
        <v>251.64</v>
      </c>
      <c r="U670" s="334">
        <f t="shared" si="184"/>
        <v>7561.7820000000002</v>
      </c>
    </row>
    <row r="671" spans="1:21">
      <c r="A671" s="336"/>
      <c r="B671" s="293"/>
      <c r="C671" s="293"/>
      <c r="D671" s="294" t="s">
        <v>2593</v>
      </c>
      <c r="E671" s="293"/>
      <c r="F671" s="316"/>
      <c r="G671" s="295">
        <v>0</v>
      </c>
      <c r="H671" s="296">
        <f>SUM(H667:H670)</f>
        <v>75337.679999999993</v>
      </c>
      <c r="I671" s="310">
        <f t="shared" si="181"/>
        <v>1.8407237631286868E-3</v>
      </c>
      <c r="J671" s="296"/>
      <c r="K671" s="296"/>
      <c r="L671" s="296"/>
      <c r="M671" s="296"/>
      <c r="N671" s="296"/>
      <c r="O671" s="296"/>
      <c r="P671" s="296"/>
      <c r="Q671" s="296"/>
      <c r="R671" s="307">
        <v>0</v>
      </c>
      <c r="S671" s="296">
        <f>SUM(S667:S670)</f>
        <v>0</v>
      </c>
      <c r="T671" s="329"/>
      <c r="U671" s="337">
        <f t="shared" ref="U671" si="190">SUM(U667:U670)</f>
        <v>75337.683500000014</v>
      </c>
    </row>
    <row r="672" spans="1:21">
      <c r="A672" s="331" t="s">
        <v>3943</v>
      </c>
      <c r="B672" s="351" t="s">
        <v>1667</v>
      </c>
      <c r="C672" s="351" t="s">
        <v>1667</v>
      </c>
      <c r="D672" s="351" t="s">
        <v>1667</v>
      </c>
      <c r="E672" s="351" t="s">
        <v>1667</v>
      </c>
      <c r="F672" s="351" t="s">
        <v>1667</v>
      </c>
      <c r="G672" s="288"/>
      <c r="H672" s="288"/>
      <c r="I672" s="311"/>
      <c r="J672" s="288"/>
      <c r="K672" s="288"/>
      <c r="L672" s="288"/>
      <c r="M672" s="288"/>
      <c r="N672" s="288"/>
      <c r="O672" s="288"/>
      <c r="P672" s="288"/>
      <c r="Q672" s="288"/>
      <c r="R672" s="305"/>
      <c r="S672" s="288"/>
      <c r="T672" s="326"/>
      <c r="U672" s="338"/>
    </row>
    <row r="673" spans="1:21">
      <c r="A673" s="333" t="s">
        <v>3932</v>
      </c>
      <c r="B673" s="87" t="s">
        <v>1810</v>
      </c>
      <c r="C673" s="87" t="s">
        <v>3302</v>
      </c>
      <c r="D673" s="290" t="s">
        <v>1670</v>
      </c>
      <c r="E673" s="87" t="s">
        <v>243</v>
      </c>
      <c r="F673" s="284">
        <v>5294.46</v>
      </c>
      <c r="G673" s="291">
        <v>11.75</v>
      </c>
      <c r="H673" s="291">
        <f>ROUND((G673*F673),2)</f>
        <v>62209.91</v>
      </c>
      <c r="I673" s="309">
        <f t="shared" si="181"/>
        <v>1.5199732675481505E-3</v>
      </c>
      <c r="J673" s="291"/>
      <c r="K673" s="291"/>
      <c r="L673" s="291"/>
      <c r="M673" s="291"/>
      <c r="N673" s="291"/>
      <c r="O673" s="291"/>
      <c r="P673" s="291"/>
      <c r="Q673" s="291"/>
      <c r="R673" s="306">
        <v>0</v>
      </c>
      <c r="S673" s="291">
        <f t="shared" ref="S673:S675" si="191">ROUND((R673*P673),2)</f>
        <v>0</v>
      </c>
      <c r="T673" s="327">
        <f t="shared" si="183"/>
        <v>5294.46</v>
      </c>
      <c r="U673" s="334">
        <f t="shared" si="184"/>
        <v>62209.904999999999</v>
      </c>
    </row>
    <row r="674" spans="1:21">
      <c r="A674" s="333" t="s">
        <v>3932</v>
      </c>
      <c r="B674" s="87" t="s">
        <v>1810</v>
      </c>
      <c r="C674" s="87" t="s">
        <v>3303</v>
      </c>
      <c r="D674" s="290" t="s">
        <v>3304</v>
      </c>
      <c r="E674" s="87" t="s">
        <v>243</v>
      </c>
      <c r="F674" s="284">
        <v>11681.34</v>
      </c>
      <c r="G674" s="291">
        <v>1.63</v>
      </c>
      <c r="H674" s="291">
        <f>ROUND((G674*F674),2)</f>
        <v>19040.580000000002</v>
      </c>
      <c r="I674" s="309">
        <f t="shared" si="181"/>
        <v>4.6521804321227863E-4</v>
      </c>
      <c r="J674" s="291"/>
      <c r="K674" s="291"/>
      <c r="L674" s="291"/>
      <c r="M674" s="291"/>
      <c r="N674" s="291"/>
      <c r="O674" s="291"/>
      <c r="P674" s="291"/>
      <c r="Q674" s="291"/>
      <c r="R674" s="306"/>
      <c r="S674" s="291">
        <f t="shared" si="191"/>
        <v>0</v>
      </c>
      <c r="T674" s="327">
        <f t="shared" si="183"/>
        <v>11681.34</v>
      </c>
      <c r="U674" s="334">
        <f t="shared" si="184"/>
        <v>19040.584199999998</v>
      </c>
    </row>
    <row r="675" spans="1:21" ht="30">
      <c r="A675" s="333" t="s">
        <v>3932</v>
      </c>
      <c r="B675" s="87" t="s">
        <v>1810</v>
      </c>
      <c r="C675" s="87" t="s">
        <v>3305</v>
      </c>
      <c r="D675" s="290" t="s">
        <v>3306</v>
      </c>
      <c r="E675" s="87" t="s">
        <v>243</v>
      </c>
      <c r="F675" s="284">
        <v>2041.61</v>
      </c>
      <c r="G675" s="291">
        <v>6.44</v>
      </c>
      <c r="H675" s="291">
        <f>ROUND((G675*F675),2)</f>
        <v>13147.97</v>
      </c>
      <c r="I675" s="309">
        <f t="shared" si="181"/>
        <v>3.2124404170533367E-4</v>
      </c>
      <c r="J675" s="291"/>
      <c r="K675" s="291"/>
      <c r="L675" s="291"/>
      <c r="M675" s="291"/>
      <c r="N675" s="291"/>
      <c r="O675" s="291"/>
      <c r="P675" s="291"/>
      <c r="Q675" s="291"/>
      <c r="R675" s="306">
        <v>0</v>
      </c>
      <c r="S675" s="291">
        <f t="shared" si="191"/>
        <v>0</v>
      </c>
      <c r="T675" s="327">
        <f t="shared" si="183"/>
        <v>2041.61</v>
      </c>
      <c r="U675" s="334">
        <f t="shared" si="184"/>
        <v>13147.9684</v>
      </c>
    </row>
    <row r="676" spans="1:21">
      <c r="A676" s="336"/>
      <c r="B676" s="293"/>
      <c r="C676" s="293"/>
      <c r="D676" s="294" t="s">
        <v>2593</v>
      </c>
      <c r="E676" s="293"/>
      <c r="F676" s="316"/>
      <c r="G676" s="295">
        <v>0</v>
      </c>
      <c r="H676" s="296">
        <f>SUM(H673:H675)</f>
        <v>94398.46</v>
      </c>
      <c r="I676" s="310">
        <f t="shared" si="181"/>
        <v>2.3064353524657626E-3</v>
      </c>
      <c r="J676" s="296"/>
      <c r="K676" s="296"/>
      <c r="L676" s="296"/>
      <c r="M676" s="296"/>
      <c r="N676" s="296"/>
      <c r="O676" s="296"/>
      <c r="P676" s="296"/>
      <c r="Q676" s="296"/>
      <c r="R676" s="307">
        <v>0</v>
      </c>
      <c r="S676" s="296">
        <f>SUM(S673:S675)</f>
        <v>0</v>
      </c>
      <c r="T676" s="329"/>
      <c r="U676" s="337">
        <f t="shared" ref="U676" si="192">SUM(U673:U675)</f>
        <v>94398.457599999994</v>
      </c>
    </row>
    <row r="677" spans="1:21">
      <c r="A677" s="331" t="s">
        <v>3944</v>
      </c>
      <c r="B677" s="351" t="s">
        <v>1675</v>
      </c>
      <c r="C677" s="351" t="s">
        <v>1675</v>
      </c>
      <c r="D677" s="351" t="s">
        <v>1675</v>
      </c>
      <c r="E677" s="351" t="s">
        <v>1675</v>
      </c>
      <c r="F677" s="351" t="s">
        <v>1675</v>
      </c>
      <c r="G677" s="288"/>
      <c r="H677" s="288"/>
      <c r="I677" s="311"/>
      <c r="J677" s="288"/>
      <c r="K677" s="288"/>
      <c r="L677" s="288"/>
      <c r="M677" s="288"/>
      <c r="N677" s="288"/>
      <c r="O677" s="288"/>
      <c r="P677" s="288"/>
      <c r="Q677" s="288"/>
      <c r="R677" s="305"/>
      <c r="S677" s="288"/>
      <c r="T677" s="326"/>
      <c r="U677" s="338"/>
    </row>
    <row r="678" spans="1:21" ht="45">
      <c r="A678" s="333" t="s">
        <v>3932</v>
      </c>
      <c r="B678" s="87" t="s">
        <v>1810</v>
      </c>
      <c r="C678" s="87" t="s">
        <v>3307</v>
      </c>
      <c r="D678" s="290" t="s">
        <v>3308</v>
      </c>
      <c r="E678" s="87" t="s">
        <v>202</v>
      </c>
      <c r="F678" s="284">
        <v>36</v>
      </c>
      <c r="G678" s="291">
        <v>192.08</v>
      </c>
      <c r="H678" s="291">
        <f t="shared" ref="H678:H683" si="193">ROUND((G678*F678),2)</f>
        <v>6914.88</v>
      </c>
      <c r="I678" s="309">
        <f t="shared" si="181"/>
        <v>1.6895110036814639E-4</v>
      </c>
      <c r="J678" s="291"/>
      <c r="K678" s="291"/>
      <c r="L678" s="291"/>
      <c r="M678" s="291"/>
      <c r="N678" s="291"/>
      <c r="O678" s="291"/>
      <c r="P678" s="291"/>
      <c r="Q678" s="291"/>
      <c r="R678" s="306">
        <v>0</v>
      </c>
      <c r="S678" s="291">
        <f t="shared" ref="S678:S683" si="194">ROUND((R678*P678),2)</f>
        <v>0</v>
      </c>
      <c r="T678" s="327">
        <f t="shared" si="183"/>
        <v>36</v>
      </c>
      <c r="U678" s="334">
        <f t="shared" si="184"/>
        <v>6914.88</v>
      </c>
    </row>
    <row r="679" spans="1:21" ht="45">
      <c r="A679" s="333" t="s">
        <v>3932</v>
      </c>
      <c r="B679" s="87" t="s">
        <v>1810</v>
      </c>
      <c r="C679" s="87" t="s">
        <v>3309</v>
      </c>
      <c r="D679" s="290" t="s">
        <v>3310</v>
      </c>
      <c r="E679" s="87" t="s">
        <v>193</v>
      </c>
      <c r="F679" s="284">
        <v>16.2</v>
      </c>
      <c r="G679" s="291">
        <v>207.23</v>
      </c>
      <c r="H679" s="291">
        <f t="shared" si="193"/>
        <v>3357.13</v>
      </c>
      <c r="I679" s="309">
        <f t="shared" si="181"/>
        <v>8.2024678313855821E-5</v>
      </c>
      <c r="J679" s="291"/>
      <c r="K679" s="291"/>
      <c r="L679" s="291"/>
      <c r="M679" s="291"/>
      <c r="N679" s="291"/>
      <c r="O679" s="291"/>
      <c r="P679" s="291"/>
      <c r="Q679" s="291"/>
      <c r="R679" s="306">
        <v>0</v>
      </c>
      <c r="S679" s="291">
        <f t="shared" si="194"/>
        <v>0</v>
      </c>
      <c r="T679" s="327">
        <f t="shared" si="183"/>
        <v>16.2</v>
      </c>
      <c r="U679" s="334">
        <f t="shared" si="184"/>
        <v>3357.1259999999997</v>
      </c>
    </row>
    <row r="680" spans="1:21" ht="30">
      <c r="A680" s="333" t="s">
        <v>3932</v>
      </c>
      <c r="B680" s="87" t="s">
        <v>1810</v>
      </c>
      <c r="C680" s="87" t="s">
        <v>2699</v>
      </c>
      <c r="D680" s="290" t="s">
        <v>2700</v>
      </c>
      <c r="E680" s="87" t="s">
        <v>193</v>
      </c>
      <c r="F680" s="284">
        <v>104.59</v>
      </c>
      <c r="G680" s="291">
        <v>396.23</v>
      </c>
      <c r="H680" s="291">
        <f t="shared" si="193"/>
        <v>41441.699999999997</v>
      </c>
      <c r="I680" s="309">
        <f t="shared" si="181"/>
        <v>1.0125440811881931E-3</v>
      </c>
      <c r="J680" s="291"/>
      <c r="K680" s="291"/>
      <c r="L680" s="291"/>
      <c r="M680" s="291"/>
      <c r="N680" s="291"/>
      <c r="O680" s="291"/>
      <c r="P680" s="291"/>
      <c r="Q680" s="291"/>
      <c r="R680" s="306">
        <v>0</v>
      </c>
      <c r="S680" s="291">
        <f t="shared" si="194"/>
        <v>0</v>
      </c>
      <c r="T680" s="327">
        <f t="shared" si="183"/>
        <v>104.59</v>
      </c>
      <c r="U680" s="334">
        <f t="shared" si="184"/>
        <v>41441.695700000004</v>
      </c>
    </row>
    <row r="681" spans="1:21" ht="60">
      <c r="A681" s="333" t="s">
        <v>3932</v>
      </c>
      <c r="B681" s="87" t="s">
        <v>1810</v>
      </c>
      <c r="C681" s="87" t="s">
        <v>3311</v>
      </c>
      <c r="D681" s="290" t="s">
        <v>3312</v>
      </c>
      <c r="E681" s="87" t="s">
        <v>202</v>
      </c>
      <c r="F681" s="284">
        <v>9</v>
      </c>
      <c r="G681" s="291">
        <v>570.69000000000005</v>
      </c>
      <c r="H681" s="291">
        <f t="shared" si="193"/>
        <v>5136.21</v>
      </c>
      <c r="I681" s="309">
        <f t="shared" si="181"/>
        <v>1.2549289810117849E-4</v>
      </c>
      <c r="J681" s="291"/>
      <c r="K681" s="291"/>
      <c r="L681" s="291"/>
      <c r="M681" s="291"/>
      <c r="N681" s="291"/>
      <c r="O681" s="291"/>
      <c r="P681" s="291"/>
      <c r="Q681" s="291"/>
      <c r="R681" s="306">
        <v>0</v>
      </c>
      <c r="S681" s="291">
        <f t="shared" si="194"/>
        <v>0</v>
      </c>
      <c r="T681" s="327">
        <f t="shared" si="183"/>
        <v>9</v>
      </c>
      <c r="U681" s="334">
        <f t="shared" si="184"/>
        <v>5136.2100000000009</v>
      </c>
    </row>
    <row r="682" spans="1:21" ht="30">
      <c r="A682" s="333" t="s">
        <v>3932</v>
      </c>
      <c r="B682" s="87" t="s">
        <v>1810</v>
      </c>
      <c r="C682" s="87" t="s">
        <v>3313</v>
      </c>
      <c r="D682" s="290" t="s">
        <v>3314</v>
      </c>
      <c r="E682" s="87" t="s">
        <v>193</v>
      </c>
      <c r="F682" s="284">
        <v>21.05</v>
      </c>
      <c r="G682" s="291">
        <v>272.82</v>
      </c>
      <c r="H682" s="291">
        <f t="shared" si="193"/>
        <v>5742.86</v>
      </c>
      <c r="I682" s="309">
        <f t="shared" si="181"/>
        <v>1.4031516327979852E-4</v>
      </c>
      <c r="J682" s="291"/>
      <c r="K682" s="291"/>
      <c r="L682" s="291"/>
      <c r="M682" s="291"/>
      <c r="N682" s="291"/>
      <c r="O682" s="291"/>
      <c r="P682" s="291"/>
      <c r="Q682" s="291"/>
      <c r="R682" s="306">
        <v>0</v>
      </c>
      <c r="S682" s="291">
        <f t="shared" si="194"/>
        <v>0</v>
      </c>
      <c r="T682" s="327">
        <f t="shared" si="183"/>
        <v>21.05</v>
      </c>
      <c r="U682" s="334">
        <f t="shared" si="184"/>
        <v>5742.8609999999999</v>
      </c>
    </row>
    <row r="683" spans="1:21" ht="45">
      <c r="A683" s="333" t="s">
        <v>3932</v>
      </c>
      <c r="B683" s="87" t="s">
        <v>1810</v>
      </c>
      <c r="C683" s="87" t="s">
        <v>3315</v>
      </c>
      <c r="D683" s="290" t="s">
        <v>1678</v>
      </c>
      <c r="E683" s="87" t="s">
        <v>202</v>
      </c>
      <c r="F683" s="284">
        <v>3</v>
      </c>
      <c r="G683" s="291">
        <v>800.97</v>
      </c>
      <c r="H683" s="291">
        <f t="shared" si="193"/>
        <v>2402.91</v>
      </c>
      <c r="I683" s="309">
        <f t="shared" si="181"/>
        <v>5.8710243501784937E-5</v>
      </c>
      <c r="J683" s="291"/>
      <c r="K683" s="291"/>
      <c r="L683" s="291"/>
      <c r="M683" s="291"/>
      <c r="N683" s="291"/>
      <c r="O683" s="291"/>
      <c r="P683" s="291"/>
      <c r="Q683" s="291"/>
      <c r="R683" s="306">
        <v>0</v>
      </c>
      <c r="S683" s="291">
        <f t="shared" si="194"/>
        <v>0</v>
      </c>
      <c r="T683" s="327">
        <f t="shared" si="183"/>
        <v>3</v>
      </c>
      <c r="U683" s="334">
        <f t="shared" si="184"/>
        <v>2402.91</v>
      </c>
    </row>
    <row r="684" spans="1:21">
      <c r="A684" s="336"/>
      <c r="B684" s="293"/>
      <c r="C684" s="293"/>
      <c r="D684" s="294" t="s">
        <v>2593</v>
      </c>
      <c r="E684" s="293"/>
      <c r="F684" s="316"/>
      <c r="G684" s="295">
        <v>0</v>
      </c>
      <c r="H684" s="296">
        <f>SUM(H678:H683)</f>
        <v>64995.69</v>
      </c>
      <c r="I684" s="310">
        <f t="shared" si="181"/>
        <v>1.5880381647529573E-3</v>
      </c>
      <c r="J684" s="296"/>
      <c r="K684" s="296"/>
      <c r="L684" s="296"/>
      <c r="M684" s="296"/>
      <c r="N684" s="296"/>
      <c r="O684" s="296"/>
      <c r="P684" s="296"/>
      <c r="Q684" s="296"/>
      <c r="R684" s="307">
        <v>0</v>
      </c>
      <c r="S684" s="296">
        <f>SUM(S678:S683)</f>
        <v>0</v>
      </c>
      <c r="T684" s="329"/>
      <c r="U684" s="337">
        <f t="shared" ref="U684" si="195">SUM(U678:U683)</f>
        <v>64995.682700000005</v>
      </c>
    </row>
    <row r="685" spans="1:21">
      <c r="A685" s="331">
        <v>21</v>
      </c>
      <c r="B685" s="351" t="s">
        <v>3316</v>
      </c>
      <c r="C685" s="351" t="s">
        <v>3316</v>
      </c>
      <c r="D685" s="351" t="s">
        <v>3316</v>
      </c>
      <c r="E685" s="351" t="s">
        <v>3316</v>
      </c>
      <c r="F685" s="351" t="s">
        <v>3316</v>
      </c>
      <c r="G685" s="288"/>
      <c r="H685" s="288"/>
      <c r="I685" s="311"/>
      <c r="J685" s="288"/>
      <c r="K685" s="288"/>
      <c r="L685" s="288"/>
      <c r="M685" s="288"/>
      <c r="N685" s="288"/>
      <c r="O685" s="288"/>
      <c r="P685" s="288"/>
      <c r="Q685" s="288"/>
      <c r="R685" s="305"/>
      <c r="S685" s="288"/>
      <c r="T685" s="326"/>
      <c r="U685" s="338"/>
    </row>
    <row r="686" spans="1:21">
      <c r="A686" s="331" t="s">
        <v>3945</v>
      </c>
      <c r="B686" s="351" t="s">
        <v>197</v>
      </c>
      <c r="C686" s="351" t="s">
        <v>197</v>
      </c>
      <c r="D686" s="351" t="s">
        <v>197</v>
      </c>
      <c r="E686" s="351" t="s">
        <v>197</v>
      </c>
      <c r="F686" s="351" t="s">
        <v>197</v>
      </c>
      <c r="G686" s="288"/>
      <c r="H686" s="288"/>
      <c r="I686" s="311"/>
      <c r="J686" s="288"/>
      <c r="K686" s="288"/>
      <c r="L686" s="288"/>
      <c r="M686" s="288"/>
      <c r="N686" s="288"/>
      <c r="O686" s="288"/>
      <c r="P686" s="288"/>
      <c r="Q686" s="288"/>
      <c r="R686" s="305"/>
      <c r="S686" s="288"/>
      <c r="T686" s="326"/>
      <c r="U686" s="338"/>
    </row>
    <row r="687" spans="1:21" ht="60">
      <c r="A687" s="333" t="s">
        <v>3946</v>
      </c>
      <c r="B687" s="87" t="s">
        <v>133</v>
      </c>
      <c r="C687" s="87" t="s">
        <v>3317</v>
      </c>
      <c r="D687" s="290" t="s">
        <v>3318</v>
      </c>
      <c r="E687" s="87" t="s">
        <v>202</v>
      </c>
      <c r="F687" s="284">
        <v>8</v>
      </c>
      <c r="G687" s="291">
        <v>1612.4</v>
      </c>
      <c r="H687" s="291">
        <f>ROUND((G687*F687),2)</f>
        <v>12899.2</v>
      </c>
      <c r="I687" s="309">
        <f t="shared" si="181"/>
        <v>3.1516585014762283E-4</v>
      </c>
      <c r="J687" s="291"/>
      <c r="K687" s="291"/>
      <c r="L687" s="291"/>
      <c r="M687" s="291"/>
      <c r="N687" s="291"/>
      <c r="O687" s="291"/>
      <c r="P687" s="291"/>
      <c r="Q687" s="291"/>
      <c r="R687" s="306">
        <v>0</v>
      </c>
      <c r="S687" s="291">
        <f t="shared" ref="S687:S690" si="196">ROUND((R687*P687),2)</f>
        <v>0</v>
      </c>
      <c r="T687" s="327">
        <f t="shared" si="183"/>
        <v>8</v>
      </c>
      <c r="U687" s="334">
        <f t="shared" si="184"/>
        <v>12899.2</v>
      </c>
    </row>
    <row r="688" spans="1:21" ht="45">
      <c r="A688" s="333" t="s">
        <v>3947</v>
      </c>
      <c r="B688" s="87" t="s">
        <v>3319</v>
      </c>
      <c r="C688" s="87">
        <v>13473</v>
      </c>
      <c r="D688" s="292" t="s">
        <v>3320</v>
      </c>
      <c r="E688" s="87" t="s">
        <v>202</v>
      </c>
      <c r="F688" s="284">
        <v>84</v>
      </c>
      <c r="G688" s="291">
        <v>55.42</v>
      </c>
      <c r="H688" s="291">
        <f>ROUND((G688*F688),2)</f>
        <v>4655.28</v>
      </c>
      <c r="I688" s="309">
        <f t="shared" si="181"/>
        <v>1.1374234672500817E-4</v>
      </c>
      <c r="J688" s="291"/>
      <c r="K688" s="291"/>
      <c r="L688" s="291"/>
      <c r="M688" s="291"/>
      <c r="N688" s="291"/>
      <c r="O688" s="291"/>
      <c r="P688" s="291"/>
      <c r="Q688" s="291"/>
      <c r="R688" s="306">
        <v>0</v>
      </c>
      <c r="S688" s="291">
        <f t="shared" si="196"/>
        <v>0</v>
      </c>
      <c r="T688" s="327">
        <f t="shared" si="183"/>
        <v>84</v>
      </c>
      <c r="U688" s="334">
        <f t="shared" si="184"/>
        <v>4655.28</v>
      </c>
    </row>
    <row r="689" spans="1:21" ht="75">
      <c r="A689" s="333" t="s">
        <v>3948</v>
      </c>
      <c r="B689" s="87" t="s">
        <v>3319</v>
      </c>
      <c r="C689" s="87">
        <v>12449</v>
      </c>
      <c r="D689" s="292" t="s">
        <v>3321</v>
      </c>
      <c r="E689" s="87" t="s">
        <v>202</v>
      </c>
      <c r="F689" s="284">
        <v>7</v>
      </c>
      <c r="G689" s="291">
        <v>2658.44</v>
      </c>
      <c r="H689" s="291">
        <f>ROUND((G689*F689),2)</f>
        <v>18609.080000000002</v>
      </c>
      <c r="I689" s="309">
        <f t="shared" si="181"/>
        <v>4.5467521386327256E-4</v>
      </c>
      <c r="J689" s="291"/>
      <c r="K689" s="291"/>
      <c r="L689" s="291"/>
      <c r="M689" s="291"/>
      <c r="N689" s="291"/>
      <c r="O689" s="291"/>
      <c r="P689" s="291"/>
      <c r="Q689" s="291"/>
      <c r="R689" s="306">
        <v>0</v>
      </c>
      <c r="S689" s="291">
        <f t="shared" si="196"/>
        <v>0</v>
      </c>
      <c r="T689" s="327">
        <f t="shared" si="183"/>
        <v>7</v>
      </c>
      <c r="U689" s="334">
        <f t="shared" si="184"/>
        <v>18609.080000000002</v>
      </c>
    </row>
    <row r="690" spans="1:21" ht="75">
      <c r="A690" s="333" t="s">
        <v>3949</v>
      </c>
      <c r="B690" s="87" t="s">
        <v>3319</v>
      </c>
      <c r="C690" s="87">
        <v>12449</v>
      </c>
      <c r="D690" s="292" t="s">
        <v>3322</v>
      </c>
      <c r="E690" s="87" t="s">
        <v>202</v>
      </c>
      <c r="F690" s="284">
        <v>5</v>
      </c>
      <c r="G690" s="291">
        <v>2658.44</v>
      </c>
      <c r="H690" s="291">
        <f>ROUND((G690*F690),2)</f>
        <v>13292.2</v>
      </c>
      <c r="I690" s="309">
        <f t="shared" si="181"/>
        <v>3.2476800990233754E-4</v>
      </c>
      <c r="J690" s="291"/>
      <c r="K690" s="291"/>
      <c r="L690" s="291"/>
      <c r="M690" s="291"/>
      <c r="N690" s="291"/>
      <c r="O690" s="291"/>
      <c r="P690" s="291"/>
      <c r="Q690" s="291"/>
      <c r="R690" s="306">
        <v>0</v>
      </c>
      <c r="S690" s="291">
        <f t="shared" si="196"/>
        <v>0</v>
      </c>
      <c r="T690" s="327">
        <f t="shared" si="183"/>
        <v>5</v>
      </c>
      <c r="U690" s="334">
        <f t="shared" si="184"/>
        <v>13292.2</v>
      </c>
    </row>
    <row r="691" spans="1:21">
      <c r="A691" s="336"/>
      <c r="B691" s="293"/>
      <c r="C691" s="293"/>
      <c r="D691" s="294" t="s">
        <v>2593</v>
      </c>
      <c r="E691" s="293"/>
      <c r="F691" s="316"/>
      <c r="G691" s="295">
        <v>0</v>
      </c>
      <c r="H691" s="296">
        <f>SUM(H687:H690)</f>
        <v>49455.759999999995</v>
      </c>
      <c r="I691" s="310">
        <f t="shared" si="181"/>
        <v>1.2083514206382409E-3</v>
      </c>
      <c r="J691" s="296"/>
      <c r="K691" s="296"/>
      <c r="L691" s="296"/>
      <c r="M691" s="296"/>
      <c r="N691" s="296"/>
      <c r="O691" s="296"/>
      <c r="P691" s="296"/>
      <c r="Q691" s="296"/>
      <c r="R691" s="307">
        <v>0</v>
      </c>
      <c r="S691" s="296">
        <f>SUM(S687:S690)</f>
        <v>0</v>
      </c>
      <c r="T691" s="329"/>
      <c r="U691" s="337">
        <f t="shared" ref="U691" si="197">SUM(U687:U690)</f>
        <v>49455.759999999995</v>
      </c>
    </row>
    <row r="692" spans="1:21">
      <c r="A692" s="331">
        <v>22</v>
      </c>
      <c r="B692" s="351" t="s">
        <v>3323</v>
      </c>
      <c r="C692" s="351" t="s">
        <v>3323</v>
      </c>
      <c r="D692" s="351" t="s">
        <v>3323</v>
      </c>
      <c r="E692" s="351" t="s">
        <v>3323</v>
      </c>
      <c r="F692" s="351" t="s">
        <v>3323</v>
      </c>
      <c r="G692" s="288"/>
      <c r="H692" s="288"/>
      <c r="I692" s="311"/>
      <c r="J692" s="288"/>
      <c r="K692" s="288"/>
      <c r="L692" s="288"/>
      <c r="M692" s="288"/>
      <c r="N692" s="288"/>
      <c r="O692" s="288"/>
      <c r="P692" s="288"/>
      <c r="Q692" s="288"/>
      <c r="R692" s="305"/>
      <c r="S692" s="288"/>
      <c r="T692" s="326"/>
      <c r="U692" s="338"/>
    </row>
    <row r="693" spans="1:21">
      <c r="A693" s="333" t="s">
        <v>3946</v>
      </c>
      <c r="B693" s="87" t="s">
        <v>1810</v>
      </c>
      <c r="C693" s="87" t="s">
        <v>3324</v>
      </c>
      <c r="D693" s="290" t="s">
        <v>3325</v>
      </c>
      <c r="E693" s="87" t="s">
        <v>202</v>
      </c>
      <c r="F693" s="284">
        <v>8</v>
      </c>
      <c r="G693" s="291">
        <v>10755.32</v>
      </c>
      <c r="H693" s="291">
        <f>ROUND((G693*F693),2)</f>
        <v>86042.559999999998</v>
      </c>
      <c r="I693" s="309">
        <f t="shared" si="181"/>
        <v>2.1022758443374661E-3</v>
      </c>
      <c r="J693" s="291"/>
      <c r="K693" s="291"/>
      <c r="L693" s="291"/>
      <c r="M693" s="291"/>
      <c r="N693" s="291"/>
      <c r="O693" s="291"/>
      <c r="P693" s="291"/>
      <c r="Q693" s="291"/>
      <c r="R693" s="306">
        <v>0</v>
      </c>
      <c r="S693" s="291">
        <f t="shared" ref="S693" si="198">ROUND((R693*P693),2)</f>
        <v>0</v>
      </c>
      <c r="T693" s="327">
        <f t="shared" si="183"/>
        <v>8</v>
      </c>
      <c r="U693" s="334">
        <f t="shared" si="184"/>
        <v>86042.559999999998</v>
      </c>
    </row>
    <row r="694" spans="1:21">
      <c r="A694" s="336"/>
      <c r="B694" s="293"/>
      <c r="C694" s="293"/>
      <c r="D694" s="294" t="s">
        <v>2593</v>
      </c>
      <c r="E694" s="293"/>
      <c r="F694" s="316"/>
      <c r="G694" s="295">
        <v>0</v>
      </c>
      <c r="H694" s="296">
        <f>SUM(H693)</f>
        <v>86042.559999999998</v>
      </c>
      <c r="I694" s="310">
        <f t="shared" si="181"/>
        <v>2.1022758443374661E-3</v>
      </c>
      <c r="J694" s="296"/>
      <c r="K694" s="296"/>
      <c r="L694" s="296"/>
      <c r="M694" s="296"/>
      <c r="N694" s="296"/>
      <c r="O694" s="296"/>
      <c r="P694" s="296"/>
      <c r="Q694" s="296"/>
      <c r="R694" s="307">
        <v>0</v>
      </c>
      <c r="S694" s="296">
        <f>SUM(S693)</f>
        <v>0</v>
      </c>
      <c r="T694" s="329"/>
      <c r="U694" s="337">
        <f t="shared" ref="U694" si="199">SUM(U693)</f>
        <v>86042.559999999998</v>
      </c>
    </row>
    <row r="695" spans="1:21">
      <c r="A695" s="331">
        <v>23</v>
      </c>
      <c r="B695" s="351" t="s">
        <v>3326</v>
      </c>
      <c r="C695" s="351" t="s">
        <v>3326</v>
      </c>
      <c r="D695" s="351" t="s">
        <v>3326</v>
      </c>
      <c r="E695" s="351"/>
      <c r="F695" s="351"/>
      <c r="G695" s="288"/>
      <c r="H695" s="288"/>
      <c r="I695" s="311"/>
      <c r="J695" s="288"/>
      <c r="K695" s="288"/>
      <c r="L695" s="288"/>
      <c r="M695" s="288"/>
      <c r="N695" s="288"/>
      <c r="O695" s="288"/>
      <c r="P695" s="288"/>
      <c r="Q695" s="288"/>
      <c r="R695" s="305"/>
      <c r="S695" s="288"/>
      <c r="T695" s="326"/>
      <c r="U695" s="338"/>
    </row>
    <row r="696" spans="1:21">
      <c r="A696" s="331" t="s">
        <v>3950</v>
      </c>
      <c r="B696" s="351" t="s">
        <v>3327</v>
      </c>
      <c r="C696" s="351" t="s">
        <v>3327</v>
      </c>
      <c r="D696" s="351" t="s">
        <v>3327</v>
      </c>
      <c r="E696" s="351"/>
      <c r="F696" s="351"/>
      <c r="G696" s="288"/>
      <c r="H696" s="288"/>
      <c r="I696" s="311"/>
      <c r="J696" s="288"/>
      <c r="K696" s="288"/>
      <c r="L696" s="288"/>
      <c r="M696" s="288"/>
      <c r="N696" s="288"/>
      <c r="O696" s="288"/>
      <c r="P696" s="288"/>
      <c r="Q696" s="288"/>
      <c r="R696" s="305"/>
      <c r="S696" s="288"/>
      <c r="T696" s="326"/>
      <c r="U696" s="338"/>
    </row>
    <row r="697" spans="1:21" ht="60">
      <c r="A697" s="333" t="s">
        <v>3951</v>
      </c>
      <c r="B697" s="87" t="s">
        <v>2649</v>
      </c>
      <c r="C697" s="87" t="s">
        <v>3328</v>
      </c>
      <c r="D697" s="292" t="s">
        <v>3329</v>
      </c>
      <c r="E697" s="87" t="s">
        <v>202</v>
      </c>
      <c r="F697" s="284">
        <v>1</v>
      </c>
      <c r="G697" s="291">
        <v>383891.26</v>
      </c>
      <c r="H697" s="291">
        <f>ROUND((G697*F697),2)</f>
        <v>383891.26</v>
      </c>
      <c r="I697" s="309">
        <f t="shared" si="181"/>
        <v>9.3796061245768822E-3</v>
      </c>
      <c r="J697" s="291"/>
      <c r="K697" s="291"/>
      <c r="L697" s="291"/>
      <c r="M697" s="291"/>
      <c r="N697" s="291"/>
      <c r="O697" s="291"/>
      <c r="P697" s="291"/>
      <c r="Q697" s="291"/>
      <c r="R697" s="306">
        <v>0</v>
      </c>
      <c r="S697" s="291">
        <f t="shared" ref="S697" si="200">ROUND((R697*P697),2)</f>
        <v>0</v>
      </c>
      <c r="T697" s="327">
        <f t="shared" si="183"/>
        <v>1</v>
      </c>
      <c r="U697" s="334">
        <f t="shared" si="184"/>
        <v>383891.26</v>
      </c>
    </row>
    <row r="698" spans="1:21">
      <c r="A698" s="336"/>
      <c r="B698" s="293"/>
      <c r="C698" s="293"/>
      <c r="D698" s="294" t="s">
        <v>2593</v>
      </c>
      <c r="E698" s="293"/>
      <c r="F698" s="316"/>
      <c r="G698" s="295">
        <v>0</v>
      </c>
      <c r="H698" s="296">
        <f>SUM(H697)</f>
        <v>383891.26</v>
      </c>
      <c r="I698" s="310">
        <f t="shared" si="181"/>
        <v>9.3796061245768822E-3</v>
      </c>
      <c r="J698" s="296"/>
      <c r="K698" s="296"/>
      <c r="L698" s="296"/>
      <c r="M698" s="296"/>
      <c r="N698" s="296"/>
      <c r="O698" s="296"/>
      <c r="P698" s="296"/>
      <c r="Q698" s="296"/>
      <c r="R698" s="307">
        <v>0</v>
      </c>
      <c r="S698" s="296">
        <f>SUM(S697)</f>
        <v>0</v>
      </c>
      <c r="T698" s="329"/>
      <c r="U698" s="337">
        <f t="shared" ref="U698" si="201">SUM(U697)</f>
        <v>383891.26</v>
      </c>
    </row>
    <row r="699" spans="1:21">
      <c r="A699" s="331" t="s">
        <v>3952</v>
      </c>
      <c r="B699" s="351" t="s">
        <v>3330</v>
      </c>
      <c r="C699" s="351" t="s">
        <v>3327</v>
      </c>
      <c r="D699" s="351" t="s">
        <v>3327</v>
      </c>
      <c r="E699" s="351"/>
      <c r="F699" s="351"/>
      <c r="G699" s="288"/>
      <c r="H699" s="288"/>
      <c r="I699" s="311"/>
      <c r="J699" s="288"/>
      <c r="K699" s="288"/>
      <c r="L699" s="288"/>
      <c r="M699" s="288"/>
      <c r="N699" s="288"/>
      <c r="O699" s="288"/>
      <c r="P699" s="288"/>
      <c r="Q699" s="288"/>
      <c r="R699" s="305"/>
      <c r="S699" s="288"/>
      <c r="T699" s="326"/>
      <c r="U699" s="338"/>
    </row>
    <row r="700" spans="1:21" ht="30">
      <c r="A700" s="333" t="s">
        <v>3953</v>
      </c>
      <c r="B700" s="87" t="s">
        <v>2649</v>
      </c>
      <c r="C700" s="87" t="s">
        <v>3331</v>
      </c>
      <c r="D700" s="290" t="s">
        <v>3332</v>
      </c>
      <c r="E700" s="87" t="s">
        <v>202</v>
      </c>
      <c r="F700" s="284">
        <v>1</v>
      </c>
      <c r="G700" s="291">
        <v>689330.1</v>
      </c>
      <c r="H700" s="291">
        <f>ROUND((G700*F700),2)</f>
        <v>689330.1</v>
      </c>
      <c r="I700" s="309">
        <f t="shared" si="181"/>
        <v>1.6842386116879018E-2</v>
      </c>
      <c r="J700" s="291"/>
      <c r="K700" s="291"/>
      <c r="L700" s="291"/>
      <c r="M700" s="291"/>
      <c r="N700" s="291"/>
      <c r="O700" s="291"/>
      <c r="P700" s="291"/>
      <c r="Q700" s="291"/>
      <c r="R700" s="306">
        <v>0</v>
      </c>
      <c r="S700" s="291">
        <f t="shared" ref="S700" si="202">ROUND((R700*P700),2)</f>
        <v>0</v>
      </c>
      <c r="T700" s="327">
        <f t="shared" si="183"/>
        <v>1</v>
      </c>
      <c r="U700" s="334">
        <f t="shared" si="184"/>
        <v>689330.1</v>
      </c>
    </row>
    <row r="701" spans="1:21">
      <c r="A701" s="336"/>
      <c r="B701" s="293"/>
      <c r="C701" s="293"/>
      <c r="D701" s="294" t="s">
        <v>2593</v>
      </c>
      <c r="E701" s="293"/>
      <c r="F701" s="316"/>
      <c r="G701" s="295">
        <v>0</v>
      </c>
      <c r="H701" s="296">
        <f>SUM(H700)</f>
        <v>689330.1</v>
      </c>
      <c r="I701" s="310">
        <f t="shared" si="181"/>
        <v>1.6842386116879018E-2</v>
      </c>
      <c r="J701" s="296"/>
      <c r="K701" s="296"/>
      <c r="L701" s="296"/>
      <c r="M701" s="296"/>
      <c r="N701" s="296"/>
      <c r="O701" s="296"/>
      <c r="P701" s="296"/>
      <c r="Q701" s="296"/>
      <c r="R701" s="307">
        <v>0</v>
      </c>
      <c r="S701" s="296">
        <f>SUM(S700)</f>
        <v>0</v>
      </c>
      <c r="T701" s="329"/>
      <c r="U701" s="337">
        <f t="shared" ref="U701" si="203">SUM(U700)</f>
        <v>689330.1</v>
      </c>
    </row>
    <row r="702" spans="1:21">
      <c r="A702" s="331" t="s">
        <v>3954</v>
      </c>
      <c r="B702" s="351" t="s">
        <v>3333</v>
      </c>
      <c r="C702" s="351" t="s">
        <v>3333</v>
      </c>
      <c r="D702" s="351" t="s">
        <v>3333</v>
      </c>
      <c r="E702" s="351"/>
      <c r="F702" s="351"/>
      <c r="G702" s="288"/>
      <c r="H702" s="288"/>
      <c r="I702" s="311"/>
      <c r="J702" s="288"/>
      <c r="K702" s="288"/>
      <c r="L702" s="288"/>
      <c r="M702" s="288"/>
      <c r="N702" s="288"/>
      <c r="O702" s="288"/>
      <c r="P702" s="288"/>
      <c r="Q702" s="288"/>
      <c r="R702" s="305"/>
      <c r="S702" s="288"/>
      <c r="T702" s="326"/>
      <c r="U702" s="338"/>
    </row>
    <row r="703" spans="1:21">
      <c r="A703" s="331" t="s">
        <v>3955</v>
      </c>
      <c r="B703" s="351" t="s">
        <v>3334</v>
      </c>
      <c r="C703" s="351" t="s">
        <v>3334</v>
      </c>
      <c r="D703" s="351" t="s">
        <v>3334</v>
      </c>
      <c r="E703" s="351"/>
      <c r="F703" s="351"/>
      <c r="G703" s="288"/>
      <c r="H703" s="288"/>
      <c r="I703" s="311"/>
      <c r="J703" s="288"/>
      <c r="K703" s="288"/>
      <c r="L703" s="288"/>
      <c r="M703" s="288"/>
      <c r="N703" s="288"/>
      <c r="O703" s="288"/>
      <c r="P703" s="288"/>
      <c r="Q703" s="288"/>
      <c r="R703" s="305"/>
      <c r="S703" s="288"/>
      <c r="T703" s="326"/>
      <c r="U703" s="338"/>
    </row>
    <row r="704" spans="1:21" ht="75">
      <c r="A704" s="333" t="s">
        <v>3956</v>
      </c>
      <c r="B704" s="87" t="s">
        <v>2649</v>
      </c>
      <c r="C704" s="87" t="s">
        <v>2744</v>
      </c>
      <c r="D704" s="290" t="s">
        <v>3335</v>
      </c>
      <c r="E704" s="87" t="s">
        <v>202</v>
      </c>
      <c r="F704" s="284">
        <v>1</v>
      </c>
      <c r="G704" s="291">
        <v>1414268.13</v>
      </c>
      <c r="H704" s="291">
        <f>ROUND((G704*F704),2)</f>
        <v>1414268.13</v>
      </c>
      <c r="I704" s="309">
        <f t="shared" si="181"/>
        <v>3.4554779949775079E-2</v>
      </c>
      <c r="J704" s="291"/>
      <c r="K704" s="291"/>
      <c r="L704" s="291"/>
      <c r="M704" s="291"/>
      <c r="N704" s="291"/>
      <c r="O704" s="291"/>
      <c r="P704" s="291"/>
      <c r="Q704" s="291"/>
      <c r="R704" s="306">
        <v>0</v>
      </c>
      <c r="S704" s="291">
        <f t="shared" ref="S704" si="204">ROUND((R704*P704),2)</f>
        <v>0</v>
      </c>
      <c r="T704" s="327">
        <f t="shared" si="183"/>
        <v>1</v>
      </c>
      <c r="U704" s="334">
        <f t="shared" si="184"/>
        <v>1414268.13</v>
      </c>
    </row>
    <row r="705" spans="1:21">
      <c r="A705" s="336"/>
      <c r="B705" s="293"/>
      <c r="C705" s="293"/>
      <c r="D705" s="294" t="s">
        <v>2593</v>
      </c>
      <c r="E705" s="293"/>
      <c r="F705" s="316"/>
      <c r="G705" s="295">
        <v>0</v>
      </c>
      <c r="H705" s="296">
        <f>SUM(H704)</f>
        <v>1414268.13</v>
      </c>
      <c r="I705" s="310">
        <f t="shared" si="181"/>
        <v>3.4554779949775079E-2</v>
      </c>
      <c r="J705" s="296"/>
      <c r="K705" s="296"/>
      <c r="L705" s="296"/>
      <c r="M705" s="296"/>
      <c r="N705" s="296"/>
      <c r="O705" s="296"/>
      <c r="P705" s="296"/>
      <c r="Q705" s="296"/>
      <c r="R705" s="307"/>
      <c r="S705" s="296">
        <f>SUM(S704)</f>
        <v>0</v>
      </c>
      <c r="T705" s="329"/>
      <c r="U705" s="337">
        <f t="shared" ref="U705" si="205">SUM(U704)</f>
        <v>1414268.13</v>
      </c>
    </row>
    <row r="706" spans="1:21" s="26" customFormat="1">
      <c r="A706" s="331" t="s">
        <v>3957</v>
      </c>
      <c r="B706" s="351" t="s">
        <v>3336</v>
      </c>
      <c r="C706" s="351" t="s">
        <v>3336</v>
      </c>
      <c r="D706" s="351" t="s">
        <v>3336</v>
      </c>
      <c r="E706" s="351"/>
      <c r="F706" s="351"/>
      <c r="G706" s="288"/>
      <c r="H706" s="288"/>
      <c r="I706" s="311"/>
      <c r="J706" s="288"/>
      <c r="K706" s="288"/>
      <c r="L706" s="288"/>
      <c r="M706" s="288"/>
      <c r="N706" s="288"/>
      <c r="O706" s="288"/>
      <c r="P706" s="288"/>
      <c r="Q706" s="288"/>
      <c r="R706" s="305"/>
      <c r="S706" s="288"/>
      <c r="T706" s="326"/>
      <c r="U706" s="338"/>
    </row>
    <row r="707" spans="1:21" s="26" customFormat="1" ht="90">
      <c r="A707" s="333" t="s">
        <v>3958</v>
      </c>
      <c r="B707" s="87" t="s">
        <v>2649</v>
      </c>
      <c r="C707" s="87" t="s">
        <v>3203</v>
      </c>
      <c r="D707" s="292" t="s">
        <v>3337</v>
      </c>
      <c r="E707" s="87" t="s">
        <v>202</v>
      </c>
      <c r="F707" s="284">
        <v>1</v>
      </c>
      <c r="G707" s="291">
        <v>857869.85</v>
      </c>
      <c r="H707" s="291">
        <f>ROUND((G707*F707),2)</f>
        <v>857869.85</v>
      </c>
      <c r="I707" s="309">
        <f t="shared" si="181"/>
        <v>2.0960313863748421E-2</v>
      </c>
      <c r="J707" s="291"/>
      <c r="K707" s="291"/>
      <c r="L707" s="291"/>
      <c r="M707" s="291"/>
      <c r="N707" s="291"/>
      <c r="O707" s="291"/>
      <c r="P707" s="291"/>
      <c r="Q707" s="291"/>
      <c r="R707" s="306">
        <v>0</v>
      </c>
      <c r="S707" s="291">
        <f t="shared" ref="S707" si="206">ROUND((R707*P707),2)</f>
        <v>0</v>
      </c>
      <c r="T707" s="327">
        <f t="shared" si="183"/>
        <v>1</v>
      </c>
      <c r="U707" s="334">
        <f t="shared" si="184"/>
        <v>857869.85</v>
      </c>
    </row>
    <row r="708" spans="1:21" s="26" customFormat="1">
      <c r="A708" s="336"/>
      <c r="B708" s="293"/>
      <c r="C708" s="293"/>
      <c r="D708" s="294" t="s">
        <v>2593</v>
      </c>
      <c r="E708" s="293"/>
      <c r="F708" s="316"/>
      <c r="G708" s="295">
        <v>0</v>
      </c>
      <c r="H708" s="296">
        <f>SUM(H707)</f>
        <v>857869.85</v>
      </c>
      <c r="I708" s="310">
        <f t="shared" si="181"/>
        <v>2.0960313863748421E-2</v>
      </c>
      <c r="J708" s="296"/>
      <c r="K708" s="296"/>
      <c r="L708" s="296"/>
      <c r="M708" s="296"/>
      <c r="N708" s="296"/>
      <c r="O708" s="296"/>
      <c r="P708" s="296"/>
      <c r="Q708" s="296"/>
      <c r="R708" s="307">
        <v>0</v>
      </c>
      <c r="S708" s="296">
        <f>SUM(S707)</f>
        <v>0</v>
      </c>
      <c r="T708" s="329"/>
      <c r="U708" s="337">
        <f t="shared" ref="U708" si="207">SUM(U707)</f>
        <v>857869.85</v>
      </c>
    </row>
    <row r="709" spans="1:21" s="26" customFormat="1">
      <c r="A709" s="331" t="s">
        <v>3959</v>
      </c>
      <c r="B709" s="351" t="s">
        <v>3338</v>
      </c>
      <c r="C709" s="351" t="s">
        <v>3338</v>
      </c>
      <c r="D709" s="351" t="s">
        <v>3338</v>
      </c>
      <c r="E709" s="351"/>
      <c r="F709" s="351"/>
      <c r="G709" s="288"/>
      <c r="H709" s="288"/>
      <c r="I709" s="311"/>
      <c r="J709" s="288"/>
      <c r="K709" s="288"/>
      <c r="L709" s="288"/>
      <c r="M709" s="288"/>
      <c r="N709" s="288"/>
      <c r="O709" s="288"/>
      <c r="P709" s="288"/>
      <c r="Q709" s="288"/>
      <c r="R709" s="305"/>
      <c r="S709" s="288"/>
      <c r="T709" s="326"/>
      <c r="U709" s="338"/>
    </row>
    <row r="710" spans="1:21">
      <c r="A710" s="333" t="s">
        <v>3960</v>
      </c>
      <c r="B710" s="87" t="s">
        <v>2649</v>
      </c>
      <c r="C710" s="87" t="s">
        <v>3339</v>
      </c>
      <c r="D710" s="290" t="s">
        <v>3340</v>
      </c>
      <c r="E710" s="87" t="s">
        <v>202</v>
      </c>
      <c r="F710" s="284">
        <v>1</v>
      </c>
      <c r="G710" s="291">
        <v>172763.54</v>
      </c>
      <c r="H710" s="291">
        <f>ROUND((G710*F710),2)</f>
        <v>172763.54</v>
      </c>
      <c r="I710" s="309">
        <f t="shared" si="181"/>
        <v>4.2211275085751706E-3</v>
      </c>
      <c r="J710" s="291"/>
      <c r="K710" s="291"/>
      <c r="L710" s="291"/>
      <c r="M710" s="291"/>
      <c r="N710" s="291"/>
      <c r="O710" s="291"/>
      <c r="P710" s="291"/>
      <c r="Q710" s="291"/>
      <c r="R710" s="306">
        <v>0</v>
      </c>
      <c r="S710" s="291">
        <f t="shared" ref="S710" si="208">ROUND((R710*P710),2)</f>
        <v>0</v>
      </c>
      <c r="T710" s="327">
        <f t="shared" si="183"/>
        <v>1</v>
      </c>
      <c r="U710" s="334">
        <f t="shared" si="184"/>
        <v>172763.54</v>
      </c>
    </row>
    <row r="711" spans="1:21" s="26" customFormat="1">
      <c r="A711" s="336"/>
      <c r="B711" s="293"/>
      <c r="C711" s="293"/>
      <c r="D711" s="294" t="s">
        <v>2593</v>
      </c>
      <c r="E711" s="293"/>
      <c r="F711" s="316"/>
      <c r="G711" s="295">
        <v>0</v>
      </c>
      <c r="H711" s="296">
        <f>SUM(H710)</f>
        <v>172763.54</v>
      </c>
      <c r="I711" s="310">
        <f t="shared" si="181"/>
        <v>4.2211275085751706E-3</v>
      </c>
      <c r="J711" s="296"/>
      <c r="K711" s="296"/>
      <c r="L711" s="296"/>
      <c r="M711" s="296"/>
      <c r="N711" s="296"/>
      <c r="O711" s="296"/>
      <c r="P711" s="296"/>
      <c r="Q711" s="296"/>
      <c r="R711" s="307">
        <v>0</v>
      </c>
      <c r="S711" s="296">
        <f>SUM(S710)</f>
        <v>0</v>
      </c>
      <c r="T711" s="329"/>
      <c r="U711" s="337">
        <f t="shared" ref="U711" si="209">SUM(U710)</f>
        <v>172763.54</v>
      </c>
    </row>
    <row r="712" spans="1:21" s="26" customFormat="1">
      <c r="A712" s="331" t="s">
        <v>3961</v>
      </c>
      <c r="B712" s="351" t="s">
        <v>3341</v>
      </c>
      <c r="C712" s="351" t="s">
        <v>3341</v>
      </c>
      <c r="D712" s="351" t="s">
        <v>3341</v>
      </c>
      <c r="E712" s="351"/>
      <c r="F712" s="351"/>
      <c r="G712" s="288"/>
      <c r="H712" s="288"/>
      <c r="I712" s="311"/>
      <c r="J712" s="288"/>
      <c r="K712" s="288"/>
      <c r="L712" s="288"/>
      <c r="M712" s="288"/>
      <c r="N712" s="288"/>
      <c r="O712" s="288"/>
      <c r="P712" s="288"/>
      <c r="Q712" s="288"/>
      <c r="R712" s="305"/>
      <c r="S712" s="288"/>
      <c r="T712" s="326"/>
      <c r="U712" s="338"/>
    </row>
    <row r="713" spans="1:21" s="26" customFormat="1">
      <c r="A713" s="333" t="s">
        <v>3962</v>
      </c>
      <c r="B713" s="87" t="s">
        <v>2649</v>
      </c>
      <c r="C713" s="87" t="s">
        <v>3342</v>
      </c>
      <c r="D713" s="290" t="s">
        <v>3343</v>
      </c>
      <c r="E713" s="87" t="s">
        <v>193</v>
      </c>
      <c r="F713" s="284">
        <v>50</v>
      </c>
      <c r="G713" s="291">
        <v>1327.45</v>
      </c>
      <c r="H713" s="291">
        <f>ROUND((G713*F713),2)</f>
        <v>66372.5</v>
      </c>
      <c r="I713" s="309">
        <f t="shared" si="181"/>
        <v>1.6216777310936411E-3</v>
      </c>
      <c r="J713" s="291"/>
      <c r="K713" s="291"/>
      <c r="L713" s="291"/>
      <c r="M713" s="291"/>
      <c r="N713" s="291"/>
      <c r="O713" s="291"/>
      <c r="P713" s="291"/>
      <c r="Q713" s="291"/>
      <c r="R713" s="306">
        <v>0</v>
      </c>
      <c r="S713" s="291">
        <f t="shared" ref="S713" si="210">ROUND((R713*P713),2)</f>
        <v>0</v>
      </c>
      <c r="T713" s="327">
        <f t="shared" si="183"/>
        <v>50</v>
      </c>
      <c r="U713" s="334">
        <f t="shared" si="184"/>
        <v>66372.5</v>
      </c>
    </row>
    <row r="714" spans="1:21" s="26" customFormat="1">
      <c r="A714" s="336"/>
      <c r="B714" s="293"/>
      <c r="C714" s="293"/>
      <c r="D714" s="294" t="s">
        <v>2593</v>
      </c>
      <c r="E714" s="293"/>
      <c r="F714" s="316"/>
      <c r="G714" s="295">
        <v>0</v>
      </c>
      <c r="H714" s="296">
        <f>SUM(H713)</f>
        <v>66372.5</v>
      </c>
      <c r="I714" s="310">
        <f t="shared" si="181"/>
        <v>1.6216777310936411E-3</v>
      </c>
      <c r="J714" s="296"/>
      <c r="K714" s="296"/>
      <c r="L714" s="296"/>
      <c r="M714" s="296"/>
      <c r="N714" s="296"/>
      <c r="O714" s="296"/>
      <c r="P714" s="296"/>
      <c r="Q714" s="296"/>
      <c r="R714" s="307">
        <v>0</v>
      </c>
      <c r="S714" s="296">
        <f>SUM(S713)</f>
        <v>0</v>
      </c>
      <c r="T714" s="329"/>
      <c r="U714" s="337">
        <f t="shared" ref="U714" si="211">SUM(U713)</f>
        <v>66372.5</v>
      </c>
    </row>
    <row r="715" spans="1:21" s="26" customFormat="1">
      <c r="A715" s="331" t="s">
        <v>3963</v>
      </c>
      <c r="B715" s="351" t="s">
        <v>3344</v>
      </c>
      <c r="C715" s="351" t="s">
        <v>3344</v>
      </c>
      <c r="D715" s="351" t="s">
        <v>3344</v>
      </c>
      <c r="E715" s="351"/>
      <c r="F715" s="351"/>
      <c r="G715" s="288"/>
      <c r="H715" s="288"/>
      <c r="I715" s="311"/>
      <c r="J715" s="288"/>
      <c r="K715" s="288"/>
      <c r="L715" s="288"/>
      <c r="M715" s="288"/>
      <c r="N715" s="288"/>
      <c r="O715" s="288"/>
      <c r="P715" s="288"/>
      <c r="Q715" s="288"/>
      <c r="R715" s="305"/>
      <c r="S715" s="288"/>
      <c r="T715" s="326"/>
      <c r="U715" s="338"/>
    </row>
    <row r="716" spans="1:21" s="26" customFormat="1">
      <c r="A716" s="341" t="s">
        <v>3964</v>
      </c>
      <c r="B716" s="300" t="s">
        <v>2649</v>
      </c>
      <c r="C716" s="300" t="s">
        <v>3345</v>
      </c>
      <c r="D716" s="298" t="s">
        <v>3346</v>
      </c>
      <c r="E716" s="300" t="s">
        <v>1549</v>
      </c>
      <c r="F716" s="320">
        <v>1</v>
      </c>
      <c r="G716" s="291">
        <v>4288.6499999999996</v>
      </c>
      <c r="H716" s="291">
        <f t="shared" ref="H716:H739" si="212">ROUND((G716*F716),2)</f>
        <v>4288.6499999999996</v>
      </c>
      <c r="I716" s="309">
        <f t="shared" ref="I716:I741" si="213">H716/$H$741</f>
        <v>1.0478448455994189E-4</v>
      </c>
      <c r="J716" s="291"/>
      <c r="K716" s="291"/>
      <c r="L716" s="291"/>
      <c r="M716" s="291"/>
      <c r="N716" s="291"/>
      <c r="O716" s="291"/>
      <c r="P716" s="291"/>
      <c r="Q716" s="291"/>
      <c r="R716" s="306">
        <v>0</v>
      </c>
      <c r="S716" s="291">
        <f t="shared" ref="S716:S739" si="214">ROUND((R716*P716),2)</f>
        <v>0</v>
      </c>
      <c r="T716" s="327">
        <f t="shared" ref="T716:T739" si="215">F716-R716</f>
        <v>1</v>
      </c>
      <c r="U716" s="334">
        <f t="shared" ref="U716:U739" si="216">T716*G716</f>
        <v>4288.6499999999996</v>
      </c>
    </row>
    <row r="717" spans="1:21" s="26" customFormat="1">
      <c r="A717" s="341" t="s">
        <v>3965</v>
      </c>
      <c r="B717" s="300" t="s">
        <v>2649</v>
      </c>
      <c r="C717" s="300" t="s">
        <v>3347</v>
      </c>
      <c r="D717" s="298" t="s">
        <v>3348</v>
      </c>
      <c r="E717" s="300" t="s">
        <v>1549</v>
      </c>
      <c r="F717" s="320">
        <v>15</v>
      </c>
      <c r="G717" s="301">
        <v>7635.28</v>
      </c>
      <c r="H717" s="291">
        <f t="shared" si="212"/>
        <v>114529.2</v>
      </c>
      <c r="I717" s="309">
        <f t="shared" si="213"/>
        <v>2.7982892493121372E-3</v>
      </c>
      <c r="J717" s="291"/>
      <c r="K717" s="291"/>
      <c r="L717" s="291"/>
      <c r="M717" s="291"/>
      <c r="N717" s="291"/>
      <c r="O717" s="291"/>
      <c r="P717" s="291"/>
      <c r="Q717" s="291"/>
      <c r="R717" s="306">
        <v>0</v>
      </c>
      <c r="S717" s="291">
        <f t="shared" si="214"/>
        <v>0</v>
      </c>
      <c r="T717" s="327">
        <f t="shared" si="215"/>
        <v>15</v>
      </c>
      <c r="U717" s="334">
        <f t="shared" si="216"/>
        <v>114529.2</v>
      </c>
    </row>
    <row r="718" spans="1:21" s="26" customFormat="1">
      <c r="A718" s="341" t="s">
        <v>3966</v>
      </c>
      <c r="B718" s="302" t="s">
        <v>2649</v>
      </c>
      <c r="C718" s="302" t="s">
        <v>3349</v>
      </c>
      <c r="D718" s="298" t="s">
        <v>3350</v>
      </c>
      <c r="E718" s="302" t="s">
        <v>1549</v>
      </c>
      <c r="F718" s="319">
        <v>5</v>
      </c>
      <c r="G718" s="303">
        <v>11864.84</v>
      </c>
      <c r="H718" s="291">
        <f t="shared" si="212"/>
        <v>59324.2</v>
      </c>
      <c r="I718" s="309">
        <f t="shared" si="213"/>
        <v>1.4494667830041866E-3</v>
      </c>
      <c r="J718" s="291"/>
      <c r="K718" s="291"/>
      <c r="L718" s="291"/>
      <c r="M718" s="291"/>
      <c r="N718" s="291"/>
      <c r="O718" s="291"/>
      <c r="P718" s="291"/>
      <c r="Q718" s="291"/>
      <c r="R718" s="306">
        <v>0</v>
      </c>
      <c r="S718" s="291">
        <f t="shared" si="214"/>
        <v>0</v>
      </c>
      <c r="T718" s="327">
        <f t="shared" si="215"/>
        <v>5</v>
      </c>
      <c r="U718" s="334">
        <f t="shared" si="216"/>
        <v>59324.2</v>
      </c>
    </row>
    <row r="719" spans="1:21">
      <c r="A719" s="341" t="s">
        <v>3967</v>
      </c>
      <c r="B719" s="300" t="s">
        <v>2649</v>
      </c>
      <c r="C719" s="300" t="s">
        <v>3351</v>
      </c>
      <c r="D719" s="298" t="s">
        <v>3346</v>
      </c>
      <c r="E719" s="300" t="s">
        <v>1549</v>
      </c>
      <c r="F719" s="320">
        <v>1</v>
      </c>
      <c r="G719" s="301">
        <v>4288.6499999999996</v>
      </c>
      <c r="H719" s="291">
        <f t="shared" si="212"/>
        <v>4288.6499999999996</v>
      </c>
      <c r="I719" s="309">
        <f t="shared" si="213"/>
        <v>1.0478448455994189E-4</v>
      </c>
      <c r="J719" s="291"/>
      <c r="K719" s="291"/>
      <c r="L719" s="291"/>
      <c r="M719" s="291"/>
      <c r="N719" s="291"/>
      <c r="O719" s="291"/>
      <c r="P719" s="291"/>
      <c r="Q719" s="291"/>
      <c r="R719" s="306">
        <v>0</v>
      </c>
      <c r="S719" s="291">
        <f t="shared" si="214"/>
        <v>0</v>
      </c>
      <c r="T719" s="327">
        <f t="shared" si="215"/>
        <v>1</v>
      </c>
      <c r="U719" s="334">
        <f t="shared" si="216"/>
        <v>4288.6499999999996</v>
      </c>
    </row>
    <row r="720" spans="1:21">
      <c r="A720" s="341" t="s">
        <v>3968</v>
      </c>
      <c r="B720" s="302" t="s">
        <v>2649</v>
      </c>
      <c r="C720" s="302" t="s">
        <v>3352</v>
      </c>
      <c r="D720" s="298" t="s">
        <v>3353</v>
      </c>
      <c r="E720" s="302" t="s">
        <v>1549</v>
      </c>
      <c r="F720" s="319">
        <v>3</v>
      </c>
      <c r="G720" s="303">
        <v>728.84</v>
      </c>
      <c r="H720" s="291">
        <f t="shared" si="212"/>
        <v>2186.52</v>
      </c>
      <c r="I720" s="309">
        <f t="shared" si="213"/>
        <v>5.3423191722337835E-5</v>
      </c>
      <c r="J720" s="291"/>
      <c r="K720" s="291"/>
      <c r="L720" s="291"/>
      <c r="M720" s="291"/>
      <c r="N720" s="291"/>
      <c r="O720" s="291"/>
      <c r="P720" s="291"/>
      <c r="Q720" s="291"/>
      <c r="R720" s="306">
        <v>0</v>
      </c>
      <c r="S720" s="291">
        <f t="shared" si="214"/>
        <v>0</v>
      </c>
      <c r="T720" s="327">
        <f t="shared" si="215"/>
        <v>3</v>
      </c>
      <c r="U720" s="334">
        <f t="shared" si="216"/>
        <v>2186.52</v>
      </c>
    </row>
    <row r="721" spans="1:21">
      <c r="A721" s="341" t="s">
        <v>3969</v>
      </c>
      <c r="B721" s="300" t="s">
        <v>2649</v>
      </c>
      <c r="C721" s="300" t="s">
        <v>3354</v>
      </c>
      <c r="D721" s="298" t="s">
        <v>3355</v>
      </c>
      <c r="E721" s="300" t="s">
        <v>1549</v>
      </c>
      <c r="F721" s="320">
        <v>217</v>
      </c>
      <c r="G721" s="301">
        <v>707.85</v>
      </c>
      <c r="H721" s="291">
        <f t="shared" si="212"/>
        <v>153603.45000000001</v>
      </c>
      <c r="I721" s="309">
        <f t="shared" si="213"/>
        <v>3.7529894803443528E-3</v>
      </c>
      <c r="J721" s="291"/>
      <c r="K721" s="291"/>
      <c r="L721" s="291"/>
      <c r="M721" s="291"/>
      <c r="N721" s="291"/>
      <c r="O721" s="291"/>
      <c r="P721" s="291"/>
      <c r="Q721" s="291"/>
      <c r="R721" s="306">
        <v>0</v>
      </c>
      <c r="S721" s="291">
        <f t="shared" si="214"/>
        <v>0</v>
      </c>
      <c r="T721" s="327">
        <f t="shared" si="215"/>
        <v>217</v>
      </c>
      <c r="U721" s="334">
        <f t="shared" si="216"/>
        <v>153603.45000000001</v>
      </c>
    </row>
    <row r="722" spans="1:21">
      <c r="A722" s="341" t="s">
        <v>3970</v>
      </c>
      <c r="B722" s="302" t="s">
        <v>2649</v>
      </c>
      <c r="C722" s="302" t="s">
        <v>3356</v>
      </c>
      <c r="D722" s="298" t="s">
        <v>3357</v>
      </c>
      <c r="E722" s="302" t="s">
        <v>1549</v>
      </c>
      <c r="F722" s="319">
        <v>115</v>
      </c>
      <c r="G722" s="303">
        <v>576.95000000000005</v>
      </c>
      <c r="H722" s="291">
        <f t="shared" si="212"/>
        <v>66349.25</v>
      </c>
      <c r="I722" s="309">
        <f t="shared" si="213"/>
        <v>1.621109664390595E-3</v>
      </c>
      <c r="J722" s="291"/>
      <c r="K722" s="291"/>
      <c r="L722" s="291"/>
      <c r="M722" s="291"/>
      <c r="N722" s="291"/>
      <c r="O722" s="291"/>
      <c r="P722" s="291"/>
      <c r="Q722" s="291"/>
      <c r="R722" s="306">
        <v>0</v>
      </c>
      <c r="S722" s="291">
        <f t="shared" si="214"/>
        <v>0</v>
      </c>
      <c r="T722" s="327">
        <f t="shared" si="215"/>
        <v>115</v>
      </c>
      <c r="U722" s="334">
        <f t="shared" si="216"/>
        <v>66349.25</v>
      </c>
    </row>
    <row r="723" spans="1:21">
      <c r="A723" s="341" t="s">
        <v>3971</v>
      </c>
      <c r="B723" s="300" t="s">
        <v>2649</v>
      </c>
      <c r="C723" s="300" t="s">
        <v>3358</v>
      </c>
      <c r="D723" s="298" t="s">
        <v>3359</v>
      </c>
      <c r="E723" s="300" t="s">
        <v>1549</v>
      </c>
      <c r="F723" s="320">
        <v>115</v>
      </c>
      <c r="G723" s="301">
        <v>3876.95</v>
      </c>
      <c r="H723" s="291">
        <f t="shared" si="212"/>
        <v>445849.25</v>
      </c>
      <c r="I723" s="309">
        <f t="shared" si="213"/>
        <v>1.0893424236691424E-2</v>
      </c>
      <c r="J723" s="291"/>
      <c r="K723" s="291"/>
      <c r="L723" s="291"/>
      <c r="M723" s="291"/>
      <c r="N723" s="291"/>
      <c r="O723" s="291"/>
      <c r="P723" s="291"/>
      <c r="Q723" s="291"/>
      <c r="R723" s="306">
        <v>0</v>
      </c>
      <c r="S723" s="291">
        <f t="shared" si="214"/>
        <v>0</v>
      </c>
      <c r="T723" s="327">
        <f t="shared" si="215"/>
        <v>115</v>
      </c>
      <c r="U723" s="334">
        <f t="shared" si="216"/>
        <v>445849.25</v>
      </c>
    </row>
    <row r="724" spans="1:21" ht="30">
      <c r="A724" s="341" t="s">
        <v>3972</v>
      </c>
      <c r="B724" s="302" t="s">
        <v>2649</v>
      </c>
      <c r="C724" s="302" t="s">
        <v>3360</v>
      </c>
      <c r="D724" s="298" t="s">
        <v>3361</v>
      </c>
      <c r="E724" s="302" t="s">
        <v>1549</v>
      </c>
      <c r="F724" s="319">
        <v>34</v>
      </c>
      <c r="G724" s="303">
        <v>1040.32</v>
      </c>
      <c r="H724" s="291">
        <f t="shared" si="212"/>
        <v>35370.879999999997</v>
      </c>
      <c r="I724" s="309">
        <f t="shared" si="213"/>
        <v>8.6421587894362035E-4</v>
      </c>
      <c r="J724" s="291"/>
      <c r="K724" s="291"/>
      <c r="L724" s="291"/>
      <c r="M724" s="291"/>
      <c r="N724" s="291"/>
      <c r="O724" s="291"/>
      <c r="P724" s="291"/>
      <c r="Q724" s="291"/>
      <c r="R724" s="306">
        <v>0</v>
      </c>
      <c r="S724" s="291">
        <f t="shared" si="214"/>
        <v>0</v>
      </c>
      <c r="T724" s="327">
        <f t="shared" si="215"/>
        <v>34</v>
      </c>
      <c r="U724" s="334">
        <f t="shared" si="216"/>
        <v>35370.879999999997</v>
      </c>
    </row>
    <row r="725" spans="1:21">
      <c r="A725" s="341" t="s">
        <v>3973</v>
      </c>
      <c r="B725" s="300" t="s">
        <v>2649</v>
      </c>
      <c r="C725" s="300" t="s">
        <v>3362</v>
      </c>
      <c r="D725" s="298" t="s">
        <v>3363</v>
      </c>
      <c r="E725" s="300" t="s">
        <v>1549</v>
      </c>
      <c r="F725" s="320">
        <v>14</v>
      </c>
      <c r="G725" s="301">
        <v>1675.91</v>
      </c>
      <c r="H725" s="291">
        <f t="shared" si="212"/>
        <v>23462.74</v>
      </c>
      <c r="I725" s="309">
        <f t="shared" si="213"/>
        <v>5.7326457446141125E-4</v>
      </c>
      <c r="J725" s="291"/>
      <c r="K725" s="291"/>
      <c r="L725" s="291"/>
      <c r="M725" s="291"/>
      <c r="N725" s="291"/>
      <c r="O725" s="291"/>
      <c r="P725" s="291"/>
      <c r="Q725" s="291"/>
      <c r="R725" s="306">
        <v>0</v>
      </c>
      <c r="S725" s="291">
        <f t="shared" si="214"/>
        <v>0</v>
      </c>
      <c r="T725" s="327">
        <f t="shared" si="215"/>
        <v>14</v>
      </c>
      <c r="U725" s="334">
        <f t="shared" si="216"/>
        <v>23462.74</v>
      </c>
    </row>
    <row r="726" spans="1:21">
      <c r="A726" s="341" t="s">
        <v>3974</v>
      </c>
      <c r="B726" s="302" t="s">
        <v>2649</v>
      </c>
      <c r="C726" s="302" t="s">
        <v>3364</v>
      </c>
      <c r="D726" s="298" t="s">
        <v>3365</v>
      </c>
      <c r="E726" s="302" t="s">
        <v>1549</v>
      </c>
      <c r="F726" s="319">
        <v>13</v>
      </c>
      <c r="G726" s="303">
        <v>873.97</v>
      </c>
      <c r="H726" s="291">
        <f t="shared" si="212"/>
        <v>11361.61</v>
      </c>
      <c r="I726" s="309">
        <f t="shared" si="213"/>
        <v>2.7759794984927229E-4</v>
      </c>
      <c r="J726" s="291"/>
      <c r="K726" s="291"/>
      <c r="L726" s="291"/>
      <c r="M726" s="291"/>
      <c r="N726" s="291"/>
      <c r="O726" s="291"/>
      <c r="P726" s="291"/>
      <c r="Q726" s="291"/>
      <c r="R726" s="306">
        <v>0</v>
      </c>
      <c r="S726" s="291">
        <f t="shared" si="214"/>
        <v>0</v>
      </c>
      <c r="T726" s="327">
        <f t="shared" si="215"/>
        <v>13</v>
      </c>
      <c r="U726" s="334">
        <f t="shared" si="216"/>
        <v>11361.61</v>
      </c>
    </row>
    <row r="727" spans="1:21">
      <c r="A727" s="341" t="s">
        <v>3975</v>
      </c>
      <c r="B727" s="300" t="s">
        <v>2649</v>
      </c>
      <c r="C727" s="300" t="s">
        <v>3366</v>
      </c>
      <c r="D727" s="298" t="s">
        <v>3367</v>
      </c>
      <c r="E727" s="300" t="s">
        <v>1549</v>
      </c>
      <c r="F727" s="320">
        <v>2</v>
      </c>
      <c r="G727" s="301">
        <v>4140.32</v>
      </c>
      <c r="H727" s="291">
        <f t="shared" si="212"/>
        <v>8280.64</v>
      </c>
      <c r="I727" s="309">
        <f t="shared" si="213"/>
        <v>2.0232068231878033E-4</v>
      </c>
      <c r="J727" s="291"/>
      <c r="K727" s="291"/>
      <c r="L727" s="291"/>
      <c r="M727" s="291"/>
      <c r="N727" s="291"/>
      <c r="O727" s="291"/>
      <c r="P727" s="291"/>
      <c r="Q727" s="291"/>
      <c r="R727" s="306">
        <v>0</v>
      </c>
      <c r="S727" s="291">
        <f t="shared" si="214"/>
        <v>0</v>
      </c>
      <c r="T727" s="327">
        <f t="shared" si="215"/>
        <v>2</v>
      </c>
      <c r="U727" s="334">
        <f t="shared" si="216"/>
        <v>8280.64</v>
      </c>
    </row>
    <row r="728" spans="1:21">
      <c r="A728" s="341" t="s">
        <v>3976</v>
      </c>
      <c r="B728" s="302" t="s">
        <v>2649</v>
      </c>
      <c r="C728" s="302" t="s">
        <v>3368</v>
      </c>
      <c r="D728" s="298" t="s">
        <v>3369</v>
      </c>
      <c r="E728" s="302" t="s">
        <v>1549</v>
      </c>
      <c r="F728" s="319">
        <v>4</v>
      </c>
      <c r="G728" s="303">
        <v>3528.38</v>
      </c>
      <c r="H728" s="291">
        <f t="shared" si="212"/>
        <v>14113.52</v>
      </c>
      <c r="I728" s="309">
        <f t="shared" si="213"/>
        <v>3.4483530214086749E-4</v>
      </c>
      <c r="J728" s="291"/>
      <c r="K728" s="291"/>
      <c r="L728" s="291"/>
      <c r="M728" s="291"/>
      <c r="N728" s="291"/>
      <c r="O728" s="291"/>
      <c r="P728" s="291"/>
      <c r="Q728" s="291"/>
      <c r="R728" s="306">
        <v>0</v>
      </c>
      <c r="S728" s="291">
        <f t="shared" si="214"/>
        <v>0</v>
      </c>
      <c r="T728" s="327">
        <f t="shared" si="215"/>
        <v>4</v>
      </c>
      <c r="U728" s="334">
        <f t="shared" si="216"/>
        <v>14113.52</v>
      </c>
    </row>
    <row r="729" spans="1:21">
      <c r="A729" s="341" t="s">
        <v>3977</v>
      </c>
      <c r="B729" s="300" t="s">
        <v>2649</v>
      </c>
      <c r="C729" s="300" t="s">
        <v>3370</v>
      </c>
      <c r="D729" s="298" t="s">
        <v>3371</v>
      </c>
      <c r="E729" s="300" t="s">
        <v>1549</v>
      </c>
      <c r="F729" s="320">
        <v>10</v>
      </c>
      <c r="G729" s="301">
        <v>4623.22</v>
      </c>
      <c r="H729" s="291">
        <f t="shared" si="212"/>
        <v>46232.2</v>
      </c>
      <c r="I729" s="309">
        <f t="shared" si="213"/>
        <v>1.1295902549921643E-3</v>
      </c>
      <c r="J729" s="291"/>
      <c r="K729" s="291"/>
      <c r="L729" s="291"/>
      <c r="M729" s="291"/>
      <c r="N729" s="291"/>
      <c r="O729" s="291"/>
      <c r="P729" s="291"/>
      <c r="Q729" s="291"/>
      <c r="R729" s="306">
        <v>0</v>
      </c>
      <c r="S729" s="291">
        <f t="shared" si="214"/>
        <v>0</v>
      </c>
      <c r="T729" s="327">
        <f t="shared" si="215"/>
        <v>10</v>
      </c>
      <c r="U729" s="334">
        <f t="shared" si="216"/>
        <v>46232.200000000004</v>
      </c>
    </row>
    <row r="730" spans="1:21">
      <c r="A730" s="341" t="s">
        <v>3978</v>
      </c>
      <c r="B730" s="302" t="s">
        <v>2649</v>
      </c>
      <c r="C730" s="302" t="s">
        <v>3372</v>
      </c>
      <c r="D730" s="298" t="s">
        <v>3373</v>
      </c>
      <c r="E730" s="302" t="s">
        <v>1549</v>
      </c>
      <c r="F730" s="319">
        <v>12</v>
      </c>
      <c r="G730" s="303">
        <v>5182.8100000000004</v>
      </c>
      <c r="H730" s="291">
        <f t="shared" si="212"/>
        <v>62193.72</v>
      </c>
      <c r="I730" s="309">
        <f t="shared" si="213"/>
        <v>1.5195776976590185E-3</v>
      </c>
      <c r="J730" s="291"/>
      <c r="K730" s="291"/>
      <c r="L730" s="291"/>
      <c r="M730" s="291"/>
      <c r="N730" s="291"/>
      <c r="O730" s="291"/>
      <c r="P730" s="291"/>
      <c r="Q730" s="291"/>
      <c r="R730" s="306">
        <v>0</v>
      </c>
      <c r="S730" s="291">
        <f t="shared" si="214"/>
        <v>0</v>
      </c>
      <c r="T730" s="327">
        <f t="shared" si="215"/>
        <v>12</v>
      </c>
      <c r="U730" s="334">
        <f t="shared" si="216"/>
        <v>62193.72</v>
      </c>
    </row>
    <row r="731" spans="1:21">
      <c r="A731" s="341" t="s">
        <v>3979</v>
      </c>
      <c r="B731" s="300" t="s">
        <v>2649</v>
      </c>
      <c r="C731" s="300" t="s">
        <v>3374</v>
      </c>
      <c r="D731" s="298" t="s">
        <v>3375</v>
      </c>
      <c r="E731" s="300" t="s">
        <v>1549</v>
      </c>
      <c r="F731" s="320">
        <v>228</v>
      </c>
      <c r="G731" s="301">
        <v>1720.83</v>
      </c>
      <c r="H731" s="291">
        <f t="shared" si="212"/>
        <v>392349.24</v>
      </c>
      <c r="I731" s="309">
        <f t="shared" si="213"/>
        <v>9.5862597509437566E-3</v>
      </c>
      <c r="J731" s="291"/>
      <c r="K731" s="291"/>
      <c r="L731" s="291"/>
      <c r="M731" s="291"/>
      <c r="N731" s="291"/>
      <c r="O731" s="291"/>
      <c r="P731" s="291"/>
      <c r="Q731" s="291"/>
      <c r="R731" s="306">
        <v>0</v>
      </c>
      <c r="S731" s="291">
        <f t="shared" si="214"/>
        <v>0</v>
      </c>
      <c r="T731" s="327">
        <f t="shared" si="215"/>
        <v>228</v>
      </c>
      <c r="U731" s="334">
        <f t="shared" si="216"/>
        <v>392349.24</v>
      </c>
    </row>
    <row r="732" spans="1:21" ht="30">
      <c r="A732" s="341" t="s">
        <v>3980</v>
      </c>
      <c r="B732" s="302" t="s">
        <v>2649</v>
      </c>
      <c r="C732" s="302" t="s">
        <v>3376</v>
      </c>
      <c r="D732" s="298" t="s">
        <v>3377</v>
      </c>
      <c r="E732" s="302" t="s">
        <v>1549</v>
      </c>
      <c r="F732" s="319">
        <v>231</v>
      </c>
      <c r="G732" s="303">
        <v>812.9</v>
      </c>
      <c r="H732" s="291">
        <f t="shared" si="212"/>
        <v>187779.9</v>
      </c>
      <c r="I732" s="309">
        <f t="shared" si="213"/>
        <v>4.5880218791968181E-3</v>
      </c>
      <c r="J732" s="291"/>
      <c r="K732" s="291"/>
      <c r="L732" s="291"/>
      <c r="M732" s="291"/>
      <c r="N732" s="291"/>
      <c r="O732" s="291"/>
      <c r="P732" s="291"/>
      <c r="Q732" s="291"/>
      <c r="R732" s="306">
        <v>0</v>
      </c>
      <c r="S732" s="291">
        <f t="shared" si="214"/>
        <v>0</v>
      </c>
      <c r="T732" s="327">
        <f t="shared" si="215"/>
        <v>231</v>
      </c>
      <c r="U732" s="334">
        <f t="shared" si="216"/>
        <v>187779.9</v>
      </c>
    </row>
    <row r="733" spans="1:21">
      <c r="A733" s="341" t="s">
        <v>3981</v>
      </c>
      <c r="B733" s="300" t="s">
        <v>2649</v>
      </c>
      <c r="C733" s="300" t="s">
        <v>3378</v>
      </c>
      <c r="D733" s="298" t="s">
        <v>3379</v>
      </c>
      <c r="E733" s="300" t="s">
        <v>1549</v>
      </c>
      <c r="F733" s="320">
        <v>213</v>
      </c>
      <c r="G733" s="301">
        <v>697.67</v>
      </c>
      <c r="H733" s="291">
        <f t="shared" si="212"/>
        <v>148603.71</v>
      </c>
      <c r="I733" s="309">
        <f t="shared" si="213"/>
        <v>3.6308309505427307E-3</v>
      </c>
      <c r="J733" s="291"/>
      <c r="K733" s="291"/>
      <c r="L733" s="291"/>
      <c r="M733" s="291"/>
      <c r="N733" s="291"/>
      <c r="O733" s="291"/>
      <c r="P733" s="291"/>
      <c r="Q733" s="291"/>
      <c r="R733" s="306">
        <v>0</v>
      </c>
      <c r="S733" s="291">
        <f t="shared" si="214"/>
        <v>0</v>
      </c>
      <c r="T733" s="327">
        <f t="shared" si="215"/>
        <v>213</v>
      </c>
      <c r="U733" s="334">
        <f t="shared" si="216"/>
        <v>148603.71</v>
      </c>
    </row>
    <row r="734" spans="1:21">
      <c r="A734" s="341" t="s">
        <v>3982</v>
      </c>
      <c r="B734" s="302" t="s">
        <v>2649</v>
      </c>
      <c r="C734" s="302" t="s">
        <v>3380</v>
      </c>
      <c r="D734" s="298" t="s">
        <v>3381</v>
      </c>
      <c r="E734" s="302" t="s">
        <v>1549</v>
      </c>
      <c r="F734" s="319">
        <v>1</v>
      </c>
      <c r="G734" s="303">
        <v>7195.31</v>
      </c>
      <c r="H734" s="291">
        <f t="shared" si="212"/>
        <v>7195.31</v>
      </c>
      <c r="I734" s="309">
        <f t="shared" si="213"/>
        <v>1.7580283996105898E-4</v>
      </c>
      <c r="J734" s="291"/>
      <c r="K734" s="291"/>
      <c r="L734" s="291"/>
      <c r="M734" s="291"/>
      <c r="N734" s="291"/>
      <c r="O734" s="291"/>
      <c r="P734" s="291"/>
      <c r="Q734" s="291"/>
      <c r="R734" s="306">
        <v>0</v>
      </c>
      <c r="S734" s="291">
        <f t="shared" si="214"/>
        <v>0</v>
      </c>
      <c r="T734" s="327">
        <f t="shared" si="215"/>
        <v>1</v>
      </c>
      <c r="U734" s="334">
        <f t="shared" si="216"/>
        <v>7195.31</v>
      </c>
    </row>
    <row r="735" spans="1:21">
      <c r="A735" s="341" t="s">
        <v>3983</v>
      </c>
      <c r="B735" s="300" t="s">
        <v>2649</v>
      </c>
      <c r="C735" s="300" t="s">
        <v>3382</v>
      </c>
      <c r="D735" s="298" t="s">
        <v>3383</v>
      </c>
      <c r="E735" s="300" t="s">
        <v>1549</v>
      </c>
      <c r="F735" s="320">
        <v>40</v>
      </c>
      <c r="G735" s="301">
        <v>225.93</v>
      </c>
      <c r="H735" s="291">
        <f t="shared" si="212"/>
        <v>9037.2000000000007</v>
      </c>
      <c r="I735" s="309">
        <f t="shared" si="213"/>
        <v>2.2080569500078278E-4</v>
      </c>
      <c r="J735" s="291"/>
      <c r="K735" s="291"/>
      <c r="L735" s="291"/>
      <c r="M735" s="291"/>
      <c r="N735" s="291"/>
      <c r="O735" s="291"/>
      <c r="P735" s="291"/>
      <c r="Q735" s="291"/>
      <c r="R735" s="306">
        <v>0</v>
      </c>
      <c r="S735" s="291">
        <f t="shared" si="214"/>
        <v>0</v>
      </c>
      <c r="T735" s="327">
        <f t="shared" si="215"/>
        <v>40</v>
      </c>
      <c r="U735" s="334">
        <f t="shared" si="216"/>
        <v>9037.2000000000007</v>
      </c>
    </row>
    <row r="736" spans="1:21">
      <c r="A736" s="341" t="s">
        <v>3984</v>
      </c>
      <c r="B736" s="302" t="s">
        <v>2649</v>
      </c>
      <c r="C736" s="302" t="s">
        <v>3384</v>
      </c>
      <c r="D736" s="298" t="s">
        <v>3385</v>
      </c>
      <c r="E736" s="302" t="s">
        <v>1549</v>
      </c>
      <c r="F736" s="319">
        <v>4</v>
      </c>
      <c r="G736" s="303">
        <v>553.25</v>
      </c>
      <c r="H736" s="291">
        <f t="shared" si="212"/>
        <v>2213</v>
      </c>
      <c r="I736" s="309">
        <f t="shared" si="213"/>
        <v>5.4070176939398513E-5</v>
      </c>
      <c r="J736" s="291"/>
      <c r="K736" s="291"/>
      <c r="L736" s="291"/>
      <c r="M736" s="291"/>
      <c r="N736" s="291"/>
      <c r="O736" s="291"/>
      <c r="P736" s="291"/>
      <c r="Q736" s="291"/>
      <c r="R736" s="306">
        <v>0</v>
      </c>
      <c r="S736" s="291">
        <f t="shared" si="214"/>
        <v>0</v>
      </c>
      <c r="T736" s="327">
        <f t="shared" si="215"/>
        <v>4</v>
      </c>
      <c r="U736" s="334">
        <f t="shared" si="216"/>
        <v>2213</v>
      </c>
    </row>
    <row r="737" spans="1:21">
      <c r="A737" s="341" t="s">
        <v>3985</v>
      </c>
      <c r="B737" s="300" t="s">
        <v>2649</v>
      </c>
      <c r="C737" s="300" t="s">
        <v>3386</v>
      </c>
      <c r="D737" s="298" t="s">
        <v>3387</v>
      </c>
      <c r="E737" s="300" t="s">
        <v>1549</v>
      </c>
      <c r="F737" s="320">
        <v>145</v>
      </c>
      <c r="G737" s="301">
        <v>881.82</v>
      </c>
      <c r="H737" s="291">
        <f t="shared" si="212"/>
        <v>127863.9</v>
      </c>
      <c r="I737" s="309">
        <f t="shared" si="213"/>
        <v>3.1240956607146665E-3</v>
      </c>
      <c r="J737" s="291"/>
      <c r="K737" s="291"/>
      <c r="L737" s="291"/>
      <c r="M737" s="291"/>
      <c r="N737" s="291"/>
      <c r="O737" s="291"/>
      <c r="P737" s="291"/>
      <c r="Q737" s="291"/>
      <c r="R737" s="306">
        <v>0</v>
      </c>
      <c r="S737" s="291">
        <f t="shared" si="214"/>
        <v>0</v>
      </c>
      <c r="T737" s="327">
        <f t="shared" si="215"/>
        <v>145</v>
      </c>
      <c r="U737" s="334">
        <f t="shared" si="216"/>
        <v>127863.90000000001</v>
      </c>
    </row>
    <row r="738" spans="1:21">
      <c r="A738" s="341" t="s">
        <v>3986</v>
      </c>
      <c r="B738" s="302" t="s">
        <v>2649</v>
      </c>
      <c r="C738" s="302" t="s">
        <v>3388</v>
      </c>
      <c r="D738" s="298" t="s">
        <v>3389</v>
      </c>
      <c r="E738" s="302" t="s">
        <v>1549</v>
      </c>
      <c r="F738" s="319">
        <v>3</v>
      </c>
      <c r="G738" s="303">
        <v>356.71</v>
      </c>
      <c r="H738" s="291">
        <f t="shared" si="212"/>
        <v>1070.1300000000001</v>
      </c>
      <c r="I738" s="309">
        <f t="shared" si="213"/>
        <v>2.6146461115299834E-5</v>
      </c>
      <c r="J738" s="291"/>
      <c r="K738" s="291"/>
      <c r="L738" s="291"/>
      <c r="M738" s="291"/>
      <c r="N738" s="291"/>
      <c r="O738" s="291"/>
      <c r="P738" s="291"/>
      <c r="Q738" s="291"/>
      <c r="R738" s="306">
        <v>0</v>
      </c>
      <c r="S738" s="291">
        <f t="shared" si="214"/>
        <v>0</v>
      </c>
      <c r="T738" s="327">
        <f t="shared" si="215"/>
        <v>3</v>
      </c>
      <c r="U738" s="334">
        <f t="shared" si="216"/>
        <v>1070.1299999999999</v>
      </c>
    </row>
    <row r="739" spans="1:21">
      <c r="A739" s="341" t="s">
        <v>3987</v>
      </c>
      <c r="B739" s="300" t="s">
        <v>2649</v>
      </c>
      <c r="C739" s="300" t="s">
        <v>3390</v>
      </c>
      <c r="D739" s="298" t="s">
        <v>3391</v>
      </c>
      <c r="E739" s="300" t="s">
        <v>1549</v>
      </c>
      <c r="F739" s="320">
        <v>25</v>
      </c>
      <c r="G739" s="301">
        <v>879.82</v>
      </c>
      <c r="H739" s="291">
        <f t="shared" si="212"/>
        <v>21995.5</v>
      </c>
      <c r="I739" s="309">
        <f t="shared" si="213"/>
        <v>5.3741553405808407E-4</v>
      </c>
      <c r="J739" s="291"/>
      <c r="K739" s="291"/>
      <c r="L739" s="291"/>
      <c r="M739" s="291"/>
      <c r="N739" s="291"/>
      <c r="O739" s="291"/>
      <c r="P739" s="291"/>
      <c r="Q739" s="291"/>
      <c r="R739" s="306">
        <v>0</v>
      </c>
      <c r="S739" s="291">
        <f t="shared" si="214"/>
        <v>0</v>
      </c>
      <c r="T739" s="327">
        <f t="shared" si="215"/>
        <v>25</v>
      </c>
      <c r="U739" s="334">
        <f t="shared" si="216"/>
        <v>21995.5</v>
      </c>
    </row>
    <row r="740" spans="1:21">
      <c r="A740" s="336"/>
      <c r="B740" s="293"/>
      <c r="C740" s="293"/>
      <c r="D740" s="294" t="s">
        <v>2593</v>
      </c>
      <c r="E740" s="293"/>
      <c r="F740" s="316"/>
      <c r="G740" s="295">
        <v>0</v>
      </c>
      <c r="H740" s="296">
        <f>SUM(H716:H739)</f>
        <v>1949542.3699999996</v>
      </c>
      <c r="I740" s="310">
        <f t="shared" si="213"/>
        <v>4.7633122863422639E-2</v>
      </c>
      <c r="J740" s="296"/>
      <c r="K740" s="296"/>
      <c r="L740" s="296"/>
      <c r="M740" s="296"/>
      <c r="N740" s="296"/>
      <c r="O740" s="296"/>
      <c r="P740" s="296"/>
      <c r="Q740" s="296"/>
      <c r="R740" s="307"/>
      <c r="S740" s="296">
        <f>SUM(S716:S739)</f>
        <v>0</v>
      </c>
      <c r="T740" s="329"/>
      <c r="U740" s="337">
        <f>SUM(U716:U739)</f>
        <v>1949542.3699999996</v>
      </c>
    </row>
    <row r="741" spans="1:21" ht="15.75" thickBot="1">
      <c r="A741" s="342"/>
      <c r="B741" s="343"/>
      <c r="C741" s="343" t="s">
        <v>2554</v>
      </c>
      <c r="D741" s="344" t="s">
        <v>17</v>
      </c>
      <c r="E741" s="343" t="s">
        <v>2554</v>
      </c>
      <c r="F741" s="345"/>
      <c r="G741" s="346"/>
      <c r="H741" s="347">
        <f>(H740+H714+H711+H708+H705+H701+H698+H694+H691+H684+H676+H671+H665+H657+H649+H641+H637+H633+H628+H623+H609+H605+H597+H594+H591+H577+H571+H566+H561+H557+H550+H539+H528+H475+H461+H445+H441+H429+H341+H308+H303+H298+H281+H277+H271+H265+H257+H251+H240+H234+H226+H219+H214+H211+H207+H202+H198+H195+H190+H186+H181+H177+H173+H169+H164+H159+H156+H151+H142+H136+H127+H121+H118+H112+H108+H105+H96+H92+H89+H83+H74+H71+H68+H62+H49+H41+H35+H32+H38)</f>
        <v>40928292.179999992</v>
      </c>
      <c r="I741" s="348">
        <f t="shared" si="213"/>
        <v>1</v>
      </c>
      <c r="J741" s="347"/>
      <c r="K741" s="347"/>
      <c r="L741" s="347"/>
      <c r="M741" s="347"/>
      <c r="N741" s="347"/>
      <c r="O741" s="347"/>
      <c r="P741" s="347"/>
      <c r="Q741" s="347"/>
      <c r="R741" s="347"/>
      <c r="S741" s="347">
        <f>(S740+S714+S711+S708+S705+S701+S698+S694+S691+S684+S676+S671+S665+S657+S649+S641+S637+S633+S628+S623+S609+S605+S597+S594+S591+S577+S571+S566+S561+S557+S550+S539+S528+S475+S461+S445+S441+S429+S341+S308+S303+S298+S281+S277+S271+S265+S257+S251+S240+S234+S226+S219+S214+S211+S207+S202+S198+S195+S190+S186+S181+S177+S173+S169+S164+S159+S156+S151+S142+S136+S127+S121+S118+S112+S108+S105+S96+S92+S89+S83+S74+S71+S68+S62+S49+S41+S35+S32+S38)</f>
        <v>2600653.5474567991</v>
      </c>
      <c r="T741" s="349"/>
      <c r="U741" s="347">
        <f>(U740+U714+U711+U708+U705+U701+U698+U694+U691+U684+U676+U671+U665+U657+U649+U641+U637+U633+U628+U623+U609+U605+U597+U594+U591+U577+U571+U566+U561+U557+U550+U539+U528+U475+U461+U445+U441+U429+U341+U308+U303+U298+U281+U277+U271+U265+U257+U251+U240+U234+U226+U219+U214+U211+U207+U202+U198+U195+U190+U186+U181+U177+U173+U169+U164+U159+U156+U151+U142+U136+U127+U121+U118+U112+U108+U105+U96+U92+U89+U83+U74+U71+U68+U62+U49+U41+U35+U32+U38)</f>
        <v>38327638.590838224</v>
      </c>
    </row>
    <row r="742" spans="1:21" ht="15.75">
      <c r="A742" s="364" t="s">
        <v>3993</v>
      </c>
      <c r="B742" s="364"/>
      <c r="C742" s="364"/>
      <c r="D742" s="364"/>
      <c r="E742" s="364"/>
      <c r="F742" s="364"/>
      <c r="G742" s="365"/>
      <c r="H742" s="365"/>
      <c r="I742" s="365"/>
      <c r="J742" s="365"/>
      <c r="K742" s="365"/>
      <c r="L742" s="365"/>
      <c r="M742" s="365"/>
      <c r="N742" s="365"/>
      <c r="O742" s="365"/>
      <c r="P742" s="365"/>
      <c r="Q742" s="365"/>
      <c r="R742" s="287"/>
      <c r="S742" s="43"/>
      <c r="T742" s="323"/>
      <c r="U742" s="43"/>
    </row>
    <row r="743" spans="1:21" ht="15.75">
      <c r="A743" s="362" t="s">
        <v>3996</v>
      </c>
      <c r="B743" s="362"/>
      <c r="C743" s="362"/>
      <c r="D743" s="362"/>
      <c r="E743" s="362"/>
      <c r="F743" s="362"/>
      <c r="G743" s="363"/>
      <c r="H743" s="363"/>
      <c r="I743" s="363"/>
      <c r="J743" s="363"/>
      <c r="K743" s="363"/>
      <c r="L743" s="363"/>
      <c r="M743" s="363"/>
      <c r="N743" s="363"/>
      <c r="O743" s="363"/>
      <c r="P743" s="363"/>
      <c r="Q743" s="363"/>
      <c r="R743" s="312"/>
      <c r="S743" s="313"/>
      <c r="T743" s="324"/>
      <c r="U743" s="313"/>
    </row>
    <row r="744" spans="1:21" ht="246.75" customHeight="1">
      <c r="A744" s="361"/>
      <c r="B744" s="361"/>
      <c r="C744" s="361"/>
      <c r="D744" s="361"/>
      <c r="E744" s="361"/>
      <c r="F744" s="361"/>
      <c r="G744" s="361"/>
      <c r="H744" s="361"/>
      <c r="I744" s="361"/>
      <c r="J744" s="361"/>
      <c r="K744" s="361"/>
      <c r="L744" s="361"/>
      <c r="M744" s="361"/>
      <c r="N744" s="361"/>
      <c r="O744" s="361"/>
      <c r="P744" s="361"/>
      <c r="Q744" s="361"/>
      <c r="R744" s="361"/>
      <c r="S744" s="361"/>
      <c r="T744" s="361"/>
      <c r="U744" s="361"/>
    </row>
    <row r="745" spans="1:21">
      <c r="A745" s="361"/>
      <c r="B745" s="361"/>
      <c r="C745" s="361"/>
      <c r="D745" s="361"/>
      <c r="E745" s="361"/>
      <c r="F745" s="361"/>
      <c r="G745" s="361"/>
      <c r="H745" s="361"/>
      <c r="I745" s="361"/>
      <c r="J745" s="361"/>
      <c r="K745" s="361"/>
      <c r="L745" s="361"/>
      <c r="M745" s="361"/>
      <c r="N745" s="361"/>
      <c r="O745" s="361"/>
      <c r="P745" s="361"/>
      <c r="Q745" s="361"/>
      <c r="R745" s="361"/>
      <c r="S745" s="361"/>
      <c r="T745" s="361"/>
      <c r="U745" s="361"/>
    </row>
    <row r="746" spans="1:21">
      <c r="A746" s="44"/>
      <c r="B746" s="45"/>
      <c r="C746" s="45"/>
      <c r="D746" s="46"/>
      <c r="E746" s="45"/>
      <c r="F746" s="45"/>
      <c r="J746" s="1"/>
      <c r="K746" s="1"/>
      <c r="M746" s="1"/>
      <c r="N746" s="1"/>
      <c r="O746" s="1"/>
      <c r="P746" s="1"/>
      <c r="Q746" s="1"/>
    </row>
    <row r="747" spans="1:21">
      <c r="F747" s="283"/>
      <c r="L747" s="2" t="e">
        <f>#REF!-G742</f>
        <v>#REF!</v>
      </c>
    </row>
    <row r="748" spans="1:21">
      <c r="J748" s="2">
        <v>23479073.6808552</v>
      </c>
    </row>
    <row r="749" spans="1:21">
      <c r="F749" s="283"/>
    </row>
    <row r="750" spans="1:21">
      <c r="F750" s="283"/>
    </row>
    <row r="751" spans="1:21">
      <c r="F751" s="283"/>
      <c r="N751" s="277" t="e">
        <f>#REF!</f>
        <v>#REF!</v>
      </c>
      <c r="O751" s="2">
        <f>G742*0.06</f>
        <v>0</v>
      </c>
    </row>
    <row r="752" spans="1:21">
      <c r="F752" s="283"/>
    </row>
    <row r="753" spans="6:6">
      <c r="F753" s="283"/>
    </row>
  </sheetData>
  <mergeCells count="150">
    <mergeCell ref="T1:U2"/>
    <mergeCell ref="T3:U5"/>
    <mergeCell ref="T6:U7"/>
    <mergeCell ref="R1:S2"/>
    <mergeCell ref="R3:S5"/>
    <mergeCell ref="R6:S7"/>
    <mergeCell ref="A744:U745"/>
    <mergeCell ref="A743:F743"/>
    <mergeCell ref="G743:Q743"/>
    <mergeCell ref="A742:F742"/>
    <mergeCell ref="G742:Q742"/>
    <mergeCell ref="P6:Q7"/>
    <mergeCell ref="B100:F100"/>
    <mergeCell ref="B84:F84"/>
    <mergeCell ref="B90:F90"/>
    <mergeCell ref="A2:Q5"/>
    <mergeCell ref="A1:Q1"/>
    <mergeCell ref="A6:F6"/>
    <mergeCell ref="G6:I7"/>
    <mergeCell ref="J6:O6"/>
    <mergeCell ref="A7:F7"/>
    <mergeCell ref="J7:K7"/>
    <mergeCell ref="L7:M7"/>
    <mergeCell ref="N7:O7"/>
    <mergeCell ref="B10:F10"/>
    <mergeCell ref="B33:F33"/>
    <mergeCell ref="B36:F36"/>
    <mergeCell ref="B39:F39"/>
    <mergeCell ref="B42:F42"/>
    <mergeCell ref="B43:F43"/>
    <mergeCell ref="B50:F50"/>
    <mergeCell ref="B51:F51"/>
    <mergeCell ref="B153:F153"/>
    <mergeCell ref="B101:F101"/>
    <mergeCell ref="B106:F106"/>
    <mergeCell ref="B109:F109"/>
    <mergeCell ref="B110:F110"/>
    <mergeCell ref="B113:F113"/>
    <mergeCell ref="B114:F114"/>
    <mergeCell ref="B133:F133"/>
    <mergeCell ref="B137:F137"/>
    <mergeCell ref="B650:F650"/>
    <mergeCell ref="B170:F170"/>
    <mergeCell ref="B174:F174"/>
    <mergeCell ref="B175:F175"/>
    <mergeCell ref="B119:F119"/>
    <mergeCell ref="B122:F122"/>
    <mergeCell ref="B128:F128"/>
    <mergeCell ref="B129:F129"/>
    <mergeCell ref="B130:F130"/>
    <mergeCell ref="B131:F131"/>
    <mergeCell ref="B132:F132"/>
    <mergeCell ref="B610:F610"/>
    <mergeCell ref="B624:F624"/>
    <mergeCell ref="B625:F625"/>
    <mergeCell ref="B629:F629"/>
    <mergeCell ref="B634:F634"/>
    <mergeCell ref="B638:F638"/>
    <mergeCell ref="B639:F639"/>
    <mergeCell ref="B642:F642"/>
    <mergeCell ref="B643:F643"/>
    <mergeCell ref="B579:F579"/>
    <mergeCell ref="B592:F592"/>
    <mergeCell ref="B595:F595"/>
    <mergeCell ref="B598:F598"/>
    <mergeCell ref="B606:F606"/>
    <mergeCell ref="B562:F562"/>
    <mergeCell ref="B567:F567"/>
    <mergeCell ref="B572:F572"/>
    <mergeCell ref="B578:F578"/>
    <mergeCell ref="B220:F220"/>
    <mergeCell ref="B227:F227"/>
    <mergeCell ref="B235:F235"/>
    <mergeCell ref="B236:F236"/>
    <mergeCell ref="B430:F430"/>
    <mergeCell ref="B432:F432"/>
    <mergeCell ref="B442:F442"/>
    <mergeCell ref="B446:F446"/>
    <mergeCell ref="B447:F447"/>
    <mergeCell ref="B462:F462"/>
    <mergeCell ref="B266:F266"/>
    <mergeCell ref="B272:F272"/>
    <mergeCell ref="B278:F278"/>
    <mergeCell ref="B282:F282"/>
    <mergeCell ref="B299:F299"/>
    <mergeCell ref="B258:F258"/>
    <mergeCell ref="B188:F188"/>
    <mergeCell ref="B191:F191"/>
    <mergeCell ref="B196:F196"/>
    <mergeCell ref="B154:F154"/>
    <mergeCell ref="B157:F157"/>
    <mergeCell ref="B160:F160"/>
    <mergeCell ref="B161:F161"/>
    <mergeCell ref="B165:F165"/>
    <mergeCell ref="B138:F138"/>
    <mergeCell ref="B143:F143"/>
    <mergeCell ref="B152:F152"/>
    <mergeCell ref="B178:F178"/>
    <mergeCell ref="B179:F179"/>
    <mergeCell ref="B182:F182"/>
    <mergeCell ref="B187:F187"/>
    <mergeCell ref="B199:F199"/>
    <mergeCell ref="B200:F200"/>
    <mergeCell ref="B203:F203"/>
    <mergeCell ref="B208:F208"/>
    <mergeCell ref="B212:F212"/>
    <mergeCell ref="B215:F215"/>
    <mergeCell ref="B237:F237"/>
    <mergeCell ref="B241:F241"/>
    <mergeCell ref="B252:F252"/>
    <mergeCell ref="B216:F216"/>
    <mergeCell ref="B712:F712"/>
    <mergeCell ref="B715:F715"/>
    <mergeCell ref="B703:F703"/>
    <mergeCell ref="B706:F706"/>
    <mergeCell ref="B709:F709"/>
    <mergeCell ref="B651:F651"/>
    <mergeCell ref="B658:F658"/>
    <mergeCell ref="B666:F666"/>
    <mergeCell ref="B672:F672"/>
    <mergeCell ref="B677:F677"/>
    <mergeCell ref="B695:F695"/>
    <mergeCell ref="B696:F696"/>
    <mergeCell ref="B699:F699"/>
    <mergeCell ref="B702:F702"/>
    <mergeCell ref="B692:F692"/>
    <mergeCell ref="B9:F9"/>
    <mergeCell ref="B63:F63"/>
    <mergeCell ref="B64:F64"/>
    <mergeCell ref="B69:F69"/>
    <mergeCell ref="B72:F72"/>
    <mergeCell ref="B75:F75"/>
    <mergeCell ref="B76:F76"/>
    <mergeCell ref="B685:F685"/>
    <mergeCell ref="B686:F686"/>
    <mergeCell ref="B93:F93"/>
    <mergeCell ref="B94:F94"/>
    <mergeCell ref="B97:F97"/>
    <mergeCell ref="B98:F98"/>
    <mergeCell ref="B99:F99"/>
    <mergeCell ref="B476:F476"/>
    <mergeCell ref="B529:F529"/>
    <mergeCell ref="B540:F540"/>
    <mergeCell ref="B551:F551"/>
    <mergeCell ref="B552:F552"/>
    <mergeCell ref="B558:F558"/>
    <mergeCell ref="B304:F304"/>
    <mergeCell ref="B309:F309"/>
    <mergeCell ref="B310:F310"/>
    <mergeCell ref="B342:F342"/>
  </mergeCells>
  <phoneticPr fontId="41" type="noConversion"/>
  <printOptions horizontalCentered="1" verticalCentered="1"/>
  <pageMargins left="0.25" right="0.25" top="0.75" bottom="0.75" header="0.3" footer="0.3"/>
  <pageSetup paperSize="9" scale="63" fitToHeight="0" orientation="landscape" horizontalDpi="300" verticalDpi="300"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F38C1D-8F23-4681-AB90-76E634D55882}">
  <sheetPr>
    <pageSetUpPr fitToPage="1"/>
  </sheetPr>
  <dimension ref="A1:H114"/>
  <sheetViews>
    <sheetView topLeftCell="A49" zoomScale="85" zoomScaleNormal="85" workbookViewId="0">
      <selection activeCell="A24" sqref="A24:E24"/>
    </sheetView>
  </sheetViews>
  <sheetFormatPr defaultRowHeight="15"/>
  <cols>
    <col min="2" max="2" width="69.7109375" customWidth="1"/>
    <col min="4" max="4" width="9.42578125" style="1" bestFit="1" customWidth="1"/>
    <col min="5" max="6" width="8.85546875" style="1"/>
    <col min="7" max="7" width="12" style="1" customWidth="1"/>
    <col min="8" max="8" width="70.5703125" style="283" customWidth="1"/>
  </cols>
  <sheetData>
    <row r="1" spans="1:8" ht="22.5">
      <c r="A1" s="278" t="s">
        <v>7</v>
      </c>
      <c r="B1" s="279" t="s">
        <v>10</v>
      </c>
      <c r="C1" s="278" t="s">
        <v>11</v>
      </c>
      <c r="D1" s="280" t="s">
        <v>12</v>
      </c>
      <c r="E1" s="280" t="s">
        <v>2525</v>
      </c>
      <c r="F1" s="280" t="s">
        <v>2526</v>
      </c>
      <c r="G1" s="281" t="s">
        <v>2529</v>
      </c>
      <c r="H1" s="281"/>
    </row>
    <row r="2" spans="1:8">
      <c r="A2" s="18" t="s">
        <v>22</v>
      </c>
      <c r="B2" s="19" t="s">
        <v>24</v>
      </c>
      <c r="C2" s="18" t="s">
        <v>25</v>
      </c>
      <c r="D2" s="20">
        <v>513.45000000000005</v>
      </c>
      <c r="E2" s="20">
        <v>489.01</v>
      </c>
      <c r="F2" s="20">
        <v>489.01</v>
      </c>
      <c r="G2" s="20" t="s">
        <v>2527</v>
      </c>
      <c r="H2" s="284" t="s">
        <v>2530</v>
      </c>
    </row>
    <row r="3" spans="1:8">
      <c r="A3" s="18" t="s">
        <v>26</v>
      </c>
      <c r="B3" s="19" t="s">
        <v>28</v>
      </c>
      <c r="C3" s="18" t="s">
        <v>25</v>
      </c>
      <c r="D3" s="20">
        <v>23.91</v>
      </c>
      <c r="E3" s="20">
        <v>23.91</v>
      </c>
      <c r="F3" s="20">
        <v>23.91</v>
      </c>
      <c r="G3" s="20" t="s">
        <v>2528</v>
      </c>
      <c r="H3" s="284"/>
    </row>
    <row r="4" spans="1:8">
      <c r="A4" s="18" t="s">
        <v>32</v>
      </c>
      <c r="B4" s="19" t="s">
        <v>34</v>
      </c>
      <c r="C4" s="18" t="s">
        <v>25</v>
      </c>
      <c r="D4" s="20">
        <v>85.68</v>
      </c>
      <c r="E4" s="20">
        <v>85.68</v>
      </c>
      <c r="F4" s="20">
        <v>85.68</v>
      </c>
      <c r="G4" s="20" t="s">
        <v>2528</v>
      </c>
      <c r="H4" s="284"/>
    </row>
    <row r="5" spans="1:8">
      <c r="A5" s="18" t="s">
        <v>35</v>
      </c>
      <c r="B5" s="19" t="s">
        <v>37</v>
      </c>
      <c r="C5" s="18" t="s">
        <v>38</v>
      </c>
      <c r="D5" s="20">
        <v>11.926200000000001</v>
      </c>
      <c r="E5" s="20">
        <v>11.926200000000001</v>
      </c>
      <c r="F5" s="20">
        <v>11.926200000000001</v>
      </c>
      <c r="G5" s="20" t="s">
        <v>2528</v>
      </c>
      <c r="H5" s="284"/>
    </row>
    <row r="6" spans="1:8">
      <c r="A6" s="18" t="s">
        <v>49</v>
      </c>
      <c r="B6" s="19" t="s">
        <v>51</v>
      </c>
      <c r="C6" s="18" t="s">
        <v>25</v>
      </c>
      <c r="D6" s="20">
        <v>488.416</v>
      </c>
      <c r="E6" s="20">
        <v>488.416</v>
      </c>
      <c r="F6" s="20">
        <v>488.416</v>
      </c>
      <c r="G6" s="20" t="s">
        <v>2528</v>
      </c>
      <c r="H6" s="284"/>
    </row>
    <row r="7" spans="1:8">
      <c r="A7" s="18" t="s">
        <v>64</v>
      </c>
      <c r="B7" s="19" t="s">
        <v>66</v>
      </c>
      <c r="C7" s="18" t="s">
        <v>25</v>
      </c>
      <c r="D7" s="20">
        <v>152</v>
      </c>
      <c r="E7" s="20">
        <v>88.46</v>
      </c>
      <c r="F7" s="20">
        <v>88.46</v>
      </c>
      <c r="G7" s="20" t="s">
        <v>2527</v>
      </c>
      <c r="H7" s="284" t="s">
        <v>2530</v>
      </c>
    </row>
    <row r="8" spans="1:8">
      <c r="A8" s="18" t="s">
        <v>70</v>
      </c>
      <c r="B8" s="19" t="s">
        <v>72</v>
      </c>
      <c r="C8" s="18" t="s">
        <v>25</v>
      </c>
      <c r="D8" s="20">
        <v>259.83999999999997</v>
      </c>
      <c r="E8" s="20">
        <v>259.83999999999997</v>
      </c>
      <c r="F8" s="20">
        <v>259.83999999999997</v>
      </c>
      <c r="G8" s="20" t="s">
        <v>2528</v>
      </c>
      <c r="H8" s="284"/>
    </row>
    <row r="9" spans="1:8">
      <c r="A9" s="18" t="s">
        <v>80</v>
      </c>
      <c r="B9" s="19" t="s">
        <v>82</v>
      </c>
      <c r="C9" s="18" t="s">
        <v>25</v>
      </c>
      <c r="D9" s="20">
        <v>152</v>
      </c>
      <c r="E9" s="20">
        <v>88.46</v>
      </c>
      <c r="F9" s="20">
        <v>88.46</v>
      </c>
      <c r="G9" s="20" t="s">
        <v>2527</v>
      </c>
      <c r="H9" s="284" t="s">
        <v>2530</v>
      </c>
    </row>
    <row r="10" spans="1:8">
      <c r="A10" s="18" t="s">
        <v>88</v>
      </c>
      <c r="B10" s="19" t="s">
        <v>89</v>
      </c>
      <c r="C10" s="18" t="s">
        <v>25</v>
      </c>
      <c r="D10" s="20">
        <v>3553.14</v>
      </c>
      <c r="E10" s="20">
        <v>3553.14</v>
      </c>
      <c r="F10" s="20">
        <v>3553.14</v>
      </c>
      <c r="G10" s="20" t="s">
        <v>2528</v>
      </c>
      <c r="H10" s="284"/>
    </row>
    <row r="11" spans="1:8">
      <c r="A11" s="18" t="s">
        <v>90</v>
      </c>
      <c r="B11" s="19" t="s">
        <v>91</v>
      </c>
      <c r="C11" s="18" t="s">
        <v>48</v>
      </c>
      <c r="D11" s="20">
        <v>20</v>
      </c>
      <c r="E11" s="20">
        <v>20</v>
      </c>
      <c r="F11" s="20">
        <v>20</v>
      </c>
      <c r="G11" s="20" t="s">
        <v>2528</v>
      </c>
      <c r="H11" s="284"/>
    </row>
    <row r="12" spans="1:8">
      <c r="A12" s="22" t="s">
        <v>130</v>
      </c>
      <c r="B12" s="23" t="s">
        <v>131</v>
      </c>
      <c r="C12" s="22" t="s">
        <v>38</v>
      </c>
      <c r="D12" s="20">
        <v>176.35</v>
      </c>
      <c r="E12" s="20">
        <v>176.35</v>
      </c>
      <c r="F12" s="20"/>
      <c r="G12" s="20" t="s">
        <v>2528</v>
      </c>
      <c r="H12" s="284"/>
    </row>
    <row r="13" spans="1:8" ht="25.5">
      <c r="A13" s="22" t="s">
        <v>132</v>
      </c>
      <c r="B13" s="23" t="s">
        <v>134</v>
      </c>
      <c r="C13" s="22" t="s">
        <v>38</v>
      </c>
      <c r="D13" s="20">
        <v>13.5</v>
      </c>
      <c r="E13" s="20">
        <v>13.5</v>
      </c>
      <c r="F13" s="20">
        <v>13.5</v>
      </c>
      <c r="G13" s="20" t="s">
        <v>2528</v>
      </c>
      <c r="H13" s="284"/>
    </row>
    <row r="14" spans="1:8" ht="25.5">
      <c r="A14" s="22" t="s">
        <v>137</v>
      </c>
      <c r="B14" s="23" t="s">
        <v>138</v>
      </c>
      <c r="C14" s="22" t="s">
        <v>38</v>
      </c>
      <c r="D14" s="20">
        <v>30.22</v>
      </c>
      <c r="E14" s="20">
        <v>30.22</v>
      </c>
      <c r="F14" s="20"/>
      <c r="G14" s="20" t="s">
        <v>2528</v>
      </c>
      <c r="H14" s="284"/>
    </row>
    <row r="15" spans="1:8" ht="25.5">
      <c r="A15" s="22" t="s">
        <v>141</v>
      </c>
      <c r="B15" s="23" t="s">
        <v>142</v>
      </c>
      <c r="C15" s="22" t="s">
        <v>38</v>
      </c>
      <c r="D15" s="20">
        <v>246.65</v>
      </c>
      <c r="E15" s="20">
        <v>246.65</v>
      </c>
      <c r="F15" s="20"/>
      <c r="G15" s="20" t="s">
        <v>2528</v>
      </c>
      <c r="H15" s="284"/>
    </row>
    <row r="16" spans="1:8" ht="38.25">
      <c r="A16" s="22" t="s">
        <v>145</v>
      </c>
      <c r="B16" s="23" t="s">
        <v>146</v>
      </c>
      <c r="C16" s="22" t="s">
        <v>38</v>
      </c>
      <c r="D16" s="20">
        <v>1365.22</v>
      </c>
      <c r="E16" s="20">
        <v>1365.22</v>
      </c>
      <c r="F16" s="20">
        <v>1365.22</v>
      </c>
      <c r="G16" s="20" t="s">
        <v>2528</v>
      </c>
      <c r="H16" s="284"/>
    </row>
    <row r="17" spans="1:8" ht="25.5">
      <c r="A17" s="22" t="s">
        <v>152</v>
      </c>
      <c r="B17" s="23" t="s">
        <v>153</v>
      </c>
      <c r="C17" s="22" t="s">
        <v>25</v>
      </c>
      <c r="D17" s="20">
        <v>36</v>
      </c>
      <c r="E17" s="20">
        <v>36</v>
      </c>
      <c r="F17" s="20">
        <v>36</v>
      </c>
      <c r="G17" s="20" t="s">
        <v>2528</v>
      </c>
      <c r="H17" s="284"/>
    </row>
    <row r="18" spans="1:8" ht="25.5">
      <c r="A18" s="22" t="s">
        <v>154</v>
      </c>
      <c r="B18" s="23" t="s">
        <v>155</v>
      </c>
      <c r="C18" s="22" t="s">
        <v>38</v>
      </c>
      <c r="D18" s="20">
        <v>13.5</v>
      </c>
      <c r="E18" s="20">
        <v>13.5</v>
      </c>
      <c r="F18" s="20">
        <v>13.5</v>
      </c>
      <c r="G18" s="20" t="s">
        <v>2528</v>
      </c>
      <c r="H18" s="284"/>
    </row>
    <row r="19" spans="1:8" ht="38.25">
      <c r="A19" s="22" t="s">
        <v>156</v>
      </c>
      <c r="B19" s="23" t="s">
        <v>157</v>
      </c>
      <c r="C19" s="22" t="s">
        <v>38</v>
      </c>
      <c r="D19" s="20">
        <v>91.59</v>
      </c>
      <c r="E19" s="20">
        <v>88.66</v>
      </c>
      <c r="F19" s="20">
        <v>88.66</v>
      </c>
      <c r="G19" s="20" t="s">
        <v>2527</v>
      </c>
      <c r="H19" s="284" t="s">
        <v>2530</v>
      </c>
    </row>
    <row r="20" spans="1:8" ht="25.5">
      <c r="A20" s="22" t="s">
        <v>163</v>
      </c>
      <c r="B20" s="23" t="s">
        <v>164</v>
      </c>
      <c r="C20" s="22" t="s">
        <v>160</v>
      </c>
      <c r="D20" s="20">
        <v>352.5</v>
      </c>
      <c r="E20" s="20">
        <v>102.4</v>
      </c>
      <c r="F20" s="20">
        <v>102.4</v>
      </c>
      <c r="G20" s="20" t="s">
        <v>2527</v>
      </c>
      <c r="H20" s="284" t="s">
        <v>2531</v>
      </c>
    </row>
    <row r="21" spans="1:8" ht="38.25">
      <c r="A21" s="22" t="s">
        <v>171</v>
      </c>
      <c r="B21" s="23" t="s">
        <v>172</v>
      </c>
      <c r="C21" s="22" t="s">
        <v>160</v>
      </c>
      <c r="D21" s="20">
        <v>1976.26</v>
      </c>
      <c r="E21" s="20"/>
      <c r="F21" s="20"/>
      <c r="G21" s="20" t="s">
        <v>2527</v>
      </c>
      <c r="H21" s="284" t="s">
        <v>2532</v>
      </c>
    </row>
    <row r="22" spans="1:8" ht="25.5">
      <c r="A22" s="22" t="s">
        <v>173</v>
      </c>
      <c r="B22" s="23" t="s">
        <v>174</v>
      </c>
      <c r="C22" s="22" t="s">
        <v>160</v>
      </c>
      <c r="D22" s="20">
        <v>2374.5</v>
      </c>
      <c r="E22" s="20">
        <v>88.66</v>
      </c>
      <c r="F22" s="20">
        <v>88.66</v>
      </c>
      <c r="G22" s="20" t="s">
        <v>2527</v>
      </c>
      <c r="H22" s="284" t="s">
        <v>2532</v>
      </c>
    </row>
    <row r="23" spans="1:8" ht="30">
      <c r="A23" s="22" t="s">
        <v>177</v>
      </c>
      <c r="B23" s="23" t="s">
        <v>178</v>
      </c>
      <c r="C23" s="22" t="s">
        <v>25</v>
      </c>
      <c r="D23" s="20">
        <v>763.32</v>
      </c>
      <c r="E23" s="20">
        <v>88.66</v>
      </c>
      <c r="F23" s="20">
        <v>88.66</v>
      </c>
      <c r="G23" s="20" t="s">
        <v>2527</v>
      </c>
      <c r="H23" s="284" t="s">
        <v>2533</v>
      </c>
    </row>
    <row r="24" spans="1:8" ht="25.5">
      <c r="A24" s="22" t="s">
        <v>182</v>
      </c>
      <c r="B24" s="23" t="s">
        <v>184</v>
      </c>
      <c r="C24" s="22" t="s">
        <v>38</v>
      </c>
      <c r="D24" s="20">
        <v>17.074000000000002</v>
      </c>
      <c r="E24" s="20"/>
      <c r="F24" s="20"/>
      <c r="G24" s="20" t="s">
        <v>2527</v>
      </c>
      <c r="H24" s="284" t="s">
        <v>2532</v>
      </c>
    </row>
    <row r="25" spans="1:8" ht="38.25">
      <c r="A25" s="22" t="s">
        <v>187</v>
      </c>
      <c r="B25" s="23" t="s">
        <v>189</v>
      </c>
      <c r="C25" s="22" t="s">
        <v>38</v>
      </c>
      <c r="D25" s="20">
        <v>8.82</v>
      </c>
      <c r="E25" s="20"/>
      <c r="F25" s="20"/>
      <c r="G25" s="20" t="s">
        <v>2527</v>
      </c>
      <c r="H25" s="284" t="s">
        <v>2532</v>
      </c>
    </row>
    <row r="26" spans="1:8" ht="25.5">
      <c r="A26" s="22" t="s">
        <v>219</v>
      </c>
      <c r="B26" s="23" t="s">
        <v>221</v>
      </c>
      <c r="C26" s="22" t="s">
        <v>25</v>
      </c>
      <c r="D26" s="20">
        <v>2.7</v>
      </c>
      <c r="E26" s="20">
        <v>2.7</v>
      </c>
      <c r="F26" s="20">
        <v>2.7</v>
      </c>
      <c r="G26" s="20" t="s">
        <v>2528</v>
      </c>
      <c r="H26" s="284"/>
    </row>
    <row r="27" spans="1:8" ht="38.25">
      <c r="A27" s="22" t="s">
        <v>234</v>
      </c>
      <c r="B27" s="23" t="s">
        <v>236</v>
      </c>
      <c r="C27" s="22" t="s">
        <v>25</v>
      </c>
      <c r="D27" s="20">
        <v>68.209999999999994</v>
      </c>
      <c r="E27" s="20">
        <v>68.209999999999994</v>
      </c>
      <c r="F27" s="20">
        <v>68.209999999999994</v>
      </c>
      <c r="G27" s="20" t="s">
        <v>2528</v>
      </c>
      <c r="H27" s="284"/>
    </row>
    <row r="28" spans="1:8" ht="38.25">
      <c r="A28" s="22" t="s">
        <v>237</v>
      </c>
      <c r="B28" s="23" t="s">
        <v>239</v>
      </c>
      <c r="C28" s="22" t="s">
        <v>25</v>
      </c>
      <c r="D28" s="20">
        <v>178.53</v>
      </c>
      <c r="E28" s="20"/>
      <c r="F28" s="20">
        <v>178.53</v>
      </c>
      <c r="G28" s="20" t="s">
        <v>2528</v>
      </c>
      <c r="H28" s="284"/>
    </row>
    <row r="29" spans="1:8" ht="51">
      <c r="A29" s="22" t="s">
        <v>268</v>
      </c>
      <c r="B29" s="23" t="s">
        <v>270</v>
      </c>
      <c r="C29" s="22" t="s">
        <v>253</v>
      </c>
      <c r="D29" s="20">
        <v>1</v>
      </c>
      <c r="E29" s="20">
        <v>1</v>
      </c>
      <c r="F29" s="20">
        <v>1</v>
      </c>
      <c r="G29" s="20" t="s">
        <v>2528</v>
      </c>
      <c r="H29" s="284"/>
    </row>
    <row r="30" spans="1:8" ht="25.5">
      <c r="A30" s="22" t="s">
        <v>296</v>
      </c>
      <c r="B30" s="23" t="s">
        <v>298</v>
      </c>
      <c r="C30" s="22" t="s">
        <v>25</v>
      </c>
      <c r="D30" s="20">
        <v>131.51</v>
      </c>
      <c r="E30" s="20">
        <v>131.51</v>
      </c>
      <c r="F30" s="20">
        <v>131.51</v>
      </c>
      <c r="G30" s="20" t="s">
        <v>2528</v>
      </c>
      <c r="H30" s="284"/>
    </row>
    <row r="31" spans="1:8" ht="38.25">
      <c r="A31" s="22" t="s">
        <v>301</v>
      </c>
      <c r="B31" s="23" t="s">
        <v>303</v>
      </c>
      <c r="C31" s="22" t="s">
        <v>25</v>
      </c>
      <c r="D31" s="20">
        <v>4</v>
      </c>
      <c r="E31" s="20">
        <v>4</v>
      </c>
      <c r="F31" s="20">
        <v>4</v>
      </c>
      <c r="G31" s="20" t="s">
        <v>2528</v>
      </c>
      <c r="H31" s="284"/>
    </row>
    <row r="32" spans="1:8" ht="25.5">
      <c r="A32" s="22" t="s">
        <v>304</v>
      </c>
      <c r="B32" s="23" t="s">
        <v>306</v>
      </c>
      <c r="C32" s="22" t="s">
        <v>25</v>
      </c>
      <c r="D32" s="20">
        <v>1.2</v>
      </c>
      <c r="E32" s="20">
        <v>1.2</v>
      </c>
      <c r="F32" s="20">
        <v>1.2</v>
      </c>
      <c r="G32" s="20" t="s">
        <v>2528</v>
      </c>
      <c r="H32" s="284"/>
    </row>
    <row r="33" spans="1:8" ht="25.5">
      <c r="A33" s="22" t="s">
        <v>307</v>
      </c>
      <c r="B33" s="23" t="s">
        <v>309</v>
      </c>
      <c r="C33" s="22" t="s">
        <v>25</v>
      </c>
      <c r="D33" s="20">
        <v>12.96</v>
      </c>
      <c r="E33" s="20">
        <v>12.96</v>
      </c>
      <c r="F33" s="20">
        <v>12.96</v>
      </c>
      <c r="G33" s="20" t="s">
        <v>2528</v>
      </c>
      <c r="H33" s="284"/>
    </row>
    <row r="34" spans="1:8">
      <c r="A34" s="22" t="s">
        <v>325</v>
      </c>
      <c r="B34" s="23" t="s">
        <v>327</v>
      </c>
      <c r="C34" s="22" t="s">
        <v>25</v>
      </c>
      <c r="D34" s="20">
        <v>5.2</v>
      </c>
      <c r="E34" s="20">
        <v>5.2</v>
      </c>
      <c r="F34" s="20">
        <v>5.2</v>
      </c>
      <c r="G34" s="20" t="s">
        <v>2528</v>
      </c>
      <c r="H34" s="284"/>
    </row>
    <row r="35" spans="1:8" ht="25.5">
      <c r="A35" s="22" t="s">
        <v>328</v>
      </c>
      <c r="B35" s="23" t="s">
        <v>330</v>
      </c>
      <c r="C35" s="22" t="s">
        <v>25</v>
      </c>
      <c r="D35" s="20">
        <v>163.18</v>
      </c>
      <c r="E35" s="20">
        <v>163.18</v>
      </c>
      <c r="F35" s="20">
        <v>163.19999999999999</v>
      </c>
      <c r="G35" s="20" t="s">
        <v>2528</v>
      </c>
      <c r="H35" s="284"/>
    </row>
    <row r="36" spans="1:8" ht="25.5">
      <c r="A36" s="22" t="s">
        <v>333</v>
      </c>
      <c r="B36" s="23" t="s">
        <v>335</v>
      </c>
      <c r="C36" s="22" t="s">
        <v>25</v>
      </c>
      <c r="D36" s="20">
        <v>3</v>
      </c>
      <c r="E36" s="20">
        <v>3</v>
      </c>
      <c r="F36" s="20">
        <v>3</v>
      </c>
      <c r="G36" s="20" t="s">
        <v>2528</v>
      </c>
      <c r="H36" s="284"/>
    </row>
    <row r="37" spans="1:8">
      <c r="A37" s="22" t="s">
        <v>350</v>
      </c>
      <c r="B37" s="23" t="s">
        <v>352</v>
      </c>
      <c r="C37" s="22" t="s">
        <v>107</v>
      </c>
      <c r="D37" s="20">
        <v>23.6</v>
      </c>
      <c r="E37" s="20">
        <v>23.6</v>
      </c>
      <c r="F37" s="20">
        <v>23.6</v>
      </c>
      <c r="G37" s="20" t="s">
        <v>2528</v>
      </c>
      <c r="H37" s="284"/>
    </row>
    <row r="38" spans="1:8">
      <c r="A38" s="22" t="s">
        <v>368</v>
      </c>
      <c r="B38" s="23" t="s">
        <v>370</v>
      </c>
      <c r="C38" s="22" t="s">
        <v>25</v>
      </c>
      <c r="D38" s="20">
        <v>830.06999999999994</v>
      </c>
      <c r="E38" s="20"/>
      <c r="F38" s="20"/>
      <c r="G38" s="20" t="s">
        <v>2527</v>
      </c>
      <c r="H38" s="284" t="s">
        <v>2532</v>
      </c>
    </row>
    <row r="39" spans="1:8" ht="30">
      <c r="A39" s="22" t="s">
        <v>381</v>
      </c>
      <c r="B39" s="23" t="s">
        <v>382</v>
      </c>
      <c r="C39" s="22" t="s">
        <v>25</v>
      </c>
      <c r="D39" s="20">
        <v>139.69999999999999</v>
      </c>
      <c r="E39" s="20">
        <v>51.41</v>
      </c>
      <c r="F39" s="20">
        <v>139.69999999999999</v>
      </c>
      <c r="G39" s="20" t="s">
        <v>2527</v>
      </c>
      <c r="H39" s="284" t="s">
        <v>2534</v>
      </c>
    </row>
    <row r="40" spans="1:8" ht="25.5">
      <c r="A40" s="22" t="s">
        <v>386</v>
      </c>
      <c r="B40" s="23" t="s">
        <v>388</v>
      </c>
      <c r="C40" s="22" t="s">
        <v>243</v>
      </c>
      <c r="D40" s="20">
        <v>48.22</v>
      </c>
      <c r="E40" s="20">
        <v>48.22</v>
      </c>
      <c r="F40" s="20">
        <v>51.41</v>
      </c>
      <c r="G40" s="20" t="s">
        <v>2528</v>
      </c>
      <c r="H40" s="284"/>
    </row>
    <row r="41" spans="1:8" ht="38.25">
      <c r="A41" s="22" t="s">
        <v>398</v>
      </c>
      <c r="B41" s="23" t="s">
        <v>400</v>
      </c>
      <c r="C41" s="22" t="s">
        <v>243</v>
      </c>
      <c r="D41" s="20">
        <v>191.01999999999998</v>
      </c>
      <c r="E41" s="20">
        <v>191.02</v>
      </c>
      <c r="F41" s="20">
        <v>191.02</v>
      </c>
      <c r="G41" s="20" t="s">
        <v>2528</v>
      </c>
      <c r="H41" s="284"/>
    </row>
    <row r="42" spans="1:8" ht="30">
      <c r="A42" s="22" t="s">
        <v>402</v>
      </c>
      <c r="B42" s="23" t="s">
        <v>404</v>
      </c>
      <c r="C42" s="22" t="s">
        <v>25</v>
      </c>
      <c r="D42" s="282">
        <v>658.81</v>
      </c>
      <c r="E42" s="20">
        <v>580.72</v>
      </c>
      <c r="F42" s="20"/>
      <c r="G42" s="20" t="s">
        <v>2527</v>
      </c>
      <c r="H42" s="285" t="s">
        <v>2535</v>
      </c>
    </row>
    <row r="43" spans="1:8" ht="30">
      <c r="A43" s="22" t="s">
        <v>405</v>
      </c>
      <c r="B43" s="23" t="s">
        <v>407</v>
      </c>
      <c r="C43" s="22" t="s">
        <v>25</v>
      </c>
      <c r="D43" s="20">
        <v>658.81</v>
      </c>
      <c r="E43" s="20">
        <v>580.72</v>
      </c>
      <c r="F43" s="20"/>
      <c r="G43" s="20" t="s">
        <v>2527</v>
      </c>
      <c r="H43" s="285" t="s">
        <v>2535</v>
      </c>
    </row>
    <row r="44" spans="1:8" ht="25.5">
      <c r="A44" s="22" t="s">
        <v>412</v>
      </c>
      <c r="B44" s="23" t="s">
        <v>414</v>
      </c>
      <c r="C44" s="22" t="s">
        <v>25</v>
      </c>
      <c r="D44" s="20">
        <v>730.32</v>
      </c>
      <c r="E44" s="20">
        <v>347.63</v>
      </c>
      <c r="F44" s="20"/>
      <c r="G44" s="20" t="s">
        <v>2527</v>
      </c>
      <c r="H44" s="284" t="s">
        <v>2536</v>
      </c>
    </row>
    <row r="45" spans="1:8" ht="25.5">
      <c r="A45" s="22" t="s">
        <v>415</v>
      </c>
      <c r="B45" s="23" t="s">
        <v>417</v>
      </c>
      <c r="C45" s="22" t="s">
        <v>25</v>
      </c>
      <c r="D45" s="20">
        <v>763.32</v>
      </c>
      <c r="E45" s="20">
        <v>738.88</v>
      </c>
      <c r="F45" s="20"/>
      <c r="G45" s="20" t="s">
        <v>2527</v>
      </c>
      <c r="H45" s="284" t="s">
        <v>2536</v>
      </c>
    </row>
    <row r="46" spans="1:8" ht="38.25">
      <c r="A46" s="22" t="s">
        <v>425</v>
      </c>
      <c r="B46" s="23" t="s">
        <v>427</v>
      </c>
      <c r="C46" s="22" t="s">
        <v>25</v>
      </c>
      <c r="D46" s="20">
        <v>163.1</v>
      </c>
      <c r="E46" s="20">
        <v>163.1</v>
      </c>
      <c r="F46" s="20">
        <v>166.06</v>
      </c>
      <c r="G46" s="20" t="s">
        <v>2528</v>
      </c>
      <c r="H46" s="284"/>
    </row>
    <row r="47" spans="1:8" ht="38.25">
      <c r="A47" s="22" t="s">
        <v>434</v>
      </c>
      <c r="B47" s="23" t="s">
        <v>436</v>
      </c>
      <c r="C47" s="22" t="s">
        <v>243</v>
      </c>
      <c r="D47" s="20">
        <v>102.75</v>
      </c>
      <c r="E47" s="20">
        <v>102.75</v>
      </c>
      <c r="F47" s="20">
        <v>105.32</v>
      </c>
      <c r="G47" s="20" t="s">
        <v>2528</v>
      </c>
      <c r="H47" s="284"/>
    </row>
    <row r="48" spans="1:8">
      <c r="A48" s="22" t="s">
        <v>447</v>
      </c>
      <c r="B48" s="23" t="s">
        <v>449</v>
      </c>
      <c r="C48" s="22" t="s">
        <v>107</v>
      </c>
      <c r="D48" s="20">
        <v>121.68</v>
      </c>
      <c r="E48" s="20">
        <v>121.68</v>
      </c>
      <c r="F48" s="20">
        <v>123.48</v>
      </c>
      <c r="G48" s="20" t="s">
        <v>2528</v>
      </c>
      <c r="H48" s="284"/>
    </row>
    <row r="49" spans="1:8" ht="38.25">
      <c r="A49" s="22" t="s">
        <v>450</v>
      </c>
      <c r="B49" s="23" t="s">
        <v>452</v>
      </c>
      <c r="C49" s="22" t="s">
        <v>107</v>
      </c>
      <c r="D49" s="20">
        <v>144.5</v>
      </c>
      <c r="E49" s="20">
        <v>144.5</v>
      </c>
      <c r="F49" s="20">
        <v>144.5</v>
      </c>
      <c r="G49" s="20" t="s">
        <v>2528</v>
      </c>
      <c r="H49" s="284"/>
    </row>
    <row r="50" spans="1:8" ht="38.25">
      <c r="A50" s="22" t="s">
        <v>544</v>
      </c>
      <c r="B50" s="23" t="s">
        <v>546</v>
      </c>
      <c r="C50" s="22" t="s">
        <v>107</v>
      </c>
      <c r="D50" s="20">
        <v>46</v>
      </c>
      <c r="E50" s="20">
        <v>46</v>
      </c>
      <c r="F50" s="20">
        <v>46</v>
      </c>
      <c r="G50" s="20" t="s">
        <v>2528</v>
      </c>
      <c r="H50" s="284"/>
    </row>
    <row r="51" spans="1:8" ht="25.5">
      <c r="A51" s="22" t="s">
        <v>616</v>
      </c>
      <c r="B51" s="23" t="s">
        <v>618</v>
      </c>
      <c r="C51" s="22" t="s">
        <v>107</v>
      </c>
      <c r="D51" s="20">
        <v>236.72</v>
      </c>
      <c r="E51" s="20">
        <v>236.72</v>
      </c>
      <c r="F51" s="20">
        <v>227.93</v>
      </c>
      <c r="G51" s="20" t="s">
        <v>2528</v>
      </c>
      <c r="H51" s="284"/>
    </row>
    <row r="52" spans="1:8" ht="25.5">
      <c r="A52" s="22" t="s">
        <v>619</v>
      </c>
      <c r="B52" s="23" t="s">
        <v>621</v>
      </c>
      <c r="C52" s="22" t="s">
        <v>107</v>
      </c>
      <c r="D52" s="20">
        <v>5.61</v>
      </c>
      <c r="E52" s="20">
        <v>5.61</v>
      </c>
      <c r="F52" s="20">
        <v>5.61</v>
      </c>
      <c r="G52" s="20" t="s">
        <v>2528</v>
      </c>
      <c r="H52" s="284"/>
    </row>
    <row r="53" spans="1:8" ht="25.5">
      <c r="A53" s="22" t="s">
        <v>622</v>
      </c>
      <c r="B53" s="23" t="s">
        <v>624</v>
      </c>
      <c r="C53" s="22" t="s">
        <v>107</v>
      </c>
      <c r="D53" s="20">
        <v>15.46</v>
      </c>
      <c r="E53" s="20">
        <v>15.46</v>
      </c>
      <c r="F53" s="20">
        <v>15.45</v>
      </c>
      <c r="G53" s="20" t="s">
        <v>2528</v>
      </c>
      <c r="H53" s="284"/>
    </row>
    <row r="54" spans="1:8">
      <c r="A54" s="22" t="s">
        <v>628</v>
      </c>
      <c r="B54" s="23" t="s">
        <v>632</v>
      </c>
      <c r="C54" s="22" t="s">
        <v>107</v>
      </c>
      <c r="D54" s="20">
        <v>23</v>
      </c>
      <c r="E54" s="20">
        <v>23</v>
      </c>
      <c r="F54" s="20">
        <v>22.24</v>
      </c>
      <c r="G54" s="20" t="s">
        <v>2528</v>
      </c>
      <c r="H54" s="284"/>
    </row>
    <row r="55" spans="1:8">
      <c r="A55" s="22" t="s">
        <v>636</v>
      </c>
      <c r="B55" s="23" t="s">
        <v>638</v>
      </c>
      <c r="C55" s="22" t="s">
        <v>107</v>
      </c>
      <c r="D55" s="20">
        <v>260.2</v>
      </c>
      <c r="E55" s="20">
        <v>260.2</v>
      </c>
      <c r="F55" s="20">
        <v>260.29000000000002</v>
      </c>
      <c r="G55" s="20" t="s">
        <v>2528</v>
      </c>
      <c r="H55" s="284"/>
    </row>
    <row r="56" spans="1:8" ht="25.5">
      <c r="A56" s="22" t="s">
        <v>699</v>
      </c>
      <c r="B56" s="23" t="s">
        <v>701</v>
      </c>
      <c r="C56" s="22" t="s">
        <v>107</v>
      </c>
      <c r="D56" s="20">
        <v>185.3</v>
      </c>
      <c r="E56" s="20">
        <v>182.5</v>
      </c>
      <c r="F56" s="20">
        <v>182.5</v>
      </c>
      <c r="G56" s="20" t="s">
        <v>2527</v>
      </c>
      <c r="H56" s="284" t="s">
        <v>2536</v>
      </c>
    </row>
    <row r="57" spans="1:8" ht="25.5">
      <c r="A57" s="22" t="s">
        <v>702</v>
      </c>
      <c r="B57" s="23" t="s">
        <v>704</v>
      </c>
      <c r="C57" s="22" t="s">
        <v>107</v>
      </c>
      <c r="D57" s="20">
        <v>4228.5</v>
      </c>
      <c r="E57" s="20"/>
      <c r="F57" s="20"/>
      <c r="G57" s="20" t="s">
        <v>2527</v>
      </c>
      <c r="H57" s="284" t="s">
        <v>2537</v>
      </c>
    </row>
    <row r="58" spans="1:8" ht="25.5">
      <c r="A58" s="22" t="s">
        <v>705</v>
      </c>
      <c r="B58" s="23" t="s">
        <v>707</v>
      </c>
      <c r="C58" s="22" t="s">
        <v>107</v>
      </c>
      <c r="D58" s="20">
        <v>11.2</v>
      </c>
      <c r="E58" s="20">
        <v>11.2</v>
      </c>
      <c r="F58" s="20">
        <v>11.2</v>
      </c>
      <c r="G58" s="20" t="s">
        <v>2528</v>
      </c>
      <c r="H58" s="284"/>
    </row>
    <row r="59" spans="1:8" ht="25.5">
      <c r="A59" s="22" t="s">
        <v>711</v>
      </c>
      <c r="B59" s="23" t="s">
        <v>713</v>
      </c>
      <c r="C59" s="22" t="s">
        <v>107</v>
      </c>
      <c r="D59" s="20">
        <v>730</v>
      </c>
      <c r="E59" s="20">
        <v>730</v>
      </c>
      <c r="F59" s="20">
        <v>730</v>
      </c>
      <c r="G59" s="20" t="s">
        <v>2528</v>
      </c>
      <c r="H59" s="284"/>
    </row>
    <row r="60" spans="1:8" ht="25.5">
      <c r="A60" s="22" t="s">
        <v>714</v>
      </c>
      <c r="B60" s="23" t="s">
        <v>716</v>
      </c>
      <c r="C60" s="22" t="s">
        <v>107</v>
      </c>
      <c r="D60" s="20">
        <v>149.19999999999999</v>
      </c>
      <c r="E60" s="20"/>
      <c r="F60" s="20"/>
      <c r="G60" s="20" t="s">
        <v>2527</v>
      </c>
      <c r="H60" s="284" t="s">
        <v>2537</v>
      </c>
    </row>
    <row r="61" spans="1:8" ht="25.5">
      <c r="A61" s="22" t="s">
        <v>720</v>
      </c>
      <c r="B61" s="23" t="s">
        <v>722</v>
      </c>
      <c r="C61" s="22" t="s">
        <v>107</v>
      </c>
      <c r="D61" s="20">
        <v>2519</v>
      </c>
      <c r="E61" s="20"/>
      <c r="F61" s="20"/>
      <c r="G61" s="20" t="s">
        <v>2527</v>
      </c>
      <c r="H61" s="284" t="s">
        <v>2537</v>
      </c>
    </row>
    <row r="62" spans="1:8" ht="30">
      <c r="A62" s="22" t="s">
        <v>795</v>
      </c>
      <c r="B62" s="23" t="s">
        <v>797</v>
      </c>
      <c r="C62" s="22" t="s">
        <v>107</v>
      </c>
      <c r="D62" s="20">
        <v>140.4</v>
      </c>
      <c r="E62" s="20">
        <v>152.80000000000001</v>
      </c>
      <c r="F62" s="20">
        <v>152.80000000000001</v>
      </c>
      <c r="G62" s="20" t="s">
        <v>2527</v>
      </c>
      <c r="H62" s="284" t="s">
        <v>2538</v>
      </c>
    </row>
    <row r="63" spans="1:8" ht="30">
      <c r="A63" s="22" t="s">
        <v>807</v>
      </c>
      <c r="B63" s="23" t="s">
        <v>809</v>
      </c>
      <c r="C63" s="22" t="s">
        <v>107</v>
      </c>
      <c r="D63" s="20">
        <v>705.9</v>
      </c>
      <c r="E63" s="20">
        <v>705</v>
      </c>
      <c r="F63" s="20">
        <v>705</v>
      </c>
      <c r="G63" s="20" t="s">
        <v>2527</v>
      </c>
      <c r="H63" s="284" t="s">
        <v>2538</v>
      </c>
    </row>
    <row r="64" spans="1:8" ht="30">
      <c r="A64" s="22" t="s">
        <v>813</v>
      </c>
      <c r="B64" s="23" t="s">
        <v>815</v>
      </c>
      <c r="C64" s="22" t="s">
        <v>107</v>
      </c>
      <c r="D64" s="20">
        <v>690.8</v>
      </c>
      <c r="E64" s="20">
        <v>674.6</v>
      </c>
      <c r="F64" s="20">
        <v>674.6</v>
      </c>
      <c r="G64" s="20" t="s">
        <v>2527</v>
      </c>
      <c r="H64" s="284" t="s">
        <v>2538</v>
      </c>
    </row>
    <row r="65" spans="1:8" ht="30">
      <c r="A65" s="22" t="s">
        <v>825</v>
      </c>
      <c r="B65" s="23" t="s">
        <v>827</v>
      </c>
      <c r="C65" s="22" t="s">
        <v>107</v>
      </c>
      <c r="D65" s="20">
        <v>176</v>
      </c>
      <c r="E65" s="20">
        <v>176.2</v>
      </c>
      <c r="F65" s="20">
        <v>176.2</v>
      </c>
      <c r="G65" s="20" t="s">
        <v>2527</v>
      </c>
      <c r="H65" s="284" t="s">
        <v>2538</v>
      </c>
    </row>
    <row r="66" spans="1:8" ht="45">
      <c r="A66" s="22" t="s">
        <v>834</v>
      </c>
      <c r="B66" s="23" t="s">
        <v>836</v>
      </c>
      <c r="C66" s="22" t="s">
        <v>48</v>
      </c>
      <c r="D66" s="20">
        <v>250</v>
      </c>
      <c r="E66" s="20">
        <v>294</v>
      </c>
      <c r="F66" s="20">
        <v>294</v>
      </c>
      <c r="G66" s="20" t="s">
        <v>2527</v>
      </c>
      <c r="H66" s="284" t="s">
        <v>2539</v>
      </c>
    </row>
    <row r="67" spans="1:8" ht="25.5">
      <c r="A67" s="22" t="s">
        <v>902</v>
      </c>
      <c r="B67" s="23" t="s">
        <v>904</v>
      </c>
      <c r="C67" s="22" t="s">
        <v>48</v>
      </c>
      <c r="D67" s="20">
        <v>20</v>
      </c>
      <c r="E67" s="20">
        <v>20</v>
      </c>
      <c r="F67" s="20"/>
      <c r="G67" s="20" t="s">
        <v>2528</v>
      </c>
      <c r="H67" s="284"/>
    </row>
    <row r="68" spans="1:8" ht="25.5">
      <c r="A68" s="22" t="s">
        <v>905</v>
      </c>
      <c r="B68" s="23" t="s">
        <v>907</v>
      </c>
      <c r="C68" s="22" t="s">
        <v>48</v>
      </c>
      <c r="D68" s="20">
        <v>8</v>
      </c>
      <c r="E68" s="20">
        <v>7</v>
      </c>
      <c r="F68" s="20"/>
      <c r="G68" s="282" t="s">
        <v>2527</v>
      </c>
      <c r="H68" s="285" t="s">
        <v>2540</v>
      </c>
    </row>
    <row r="69" spans="1:8" ht="25.5">
      <c r="A69" s="22" t="s">
        <v>1498</v>
      </c>
      <c r="B69" s="23" t="s">
        <v>1500</v>
      </c>
      <c r="C69" s="22" t="s">
        <v>48</v>
      </c>
      <c r="D69" s="20">
        <v>1</v>
      </c>
      <c r="E69" s="20">
        <v>1</v>
      </c>
      <c r="F69" s="20">
        <v>1</v>
      </c>
      <c r="G69" s="20" t="s">
        <v>2528</v>
      </c>
      <c r="H69" s="284"/>
    </row>
    <row r="70" spans="1:8">
      <c r="A70" s="22" t="s">
        <v>1501</v>
      </c>
      <c r="B70" s="23" t="s">
        <v>1503</v>
      </c>
      <c r="C70" s="22" t="s">
        <v>48</v>
      </c>
      <c r="D70" s="20">
        <v>2</v>
      </c>
      <c r="E70" s="20">
        <v>2</v>
      </c>
      <c r="F70" s="20">
        <v>2</v>
      </c>
      <c r="G70" s="20" t="s">
        <v>2528</v>
      </c>
      <c r="H70" s="284"/>
    </row>
    <row r="71" spans="1:8">
      <c r="A71" s="22" t="s">
        <v>1509</v>
      </c>
      <c r="B71" s="23" t="s">
        <v>1511</v>
      </c>
      <c r="C71" s="22" t="s">
        <v>25</v>
      </c>
      <c r="D71" s="20">
        <v>10.77</v>
      </c>
      <c r="E71" s="20">
        <v>10.77</v>
      </c>
      <c r="F71" s="20">
        <v>10.77</v>
      </c>
      <c r="G71" s="20" t="s">
        <v>2528</v>
      </c>
      <c r="H71" s="284"/>
    </row>
    <row r="72" spans="1:8" ht="25.5">
      <c r="A72" s="22" t="s">
        <v>1534</v>
      </c>
      <c r="B72" s="23" t="s">
        <v>1536</v>
      </c>
      <c r="C72" s="22" t="s">
        <v>48</v>
      </c>
      <c r="D72" s="20">
        <v>3</v>
      </c>
      <c r="E72" s="20">
        <v>3</v>
      </c>
      <c r="F72" s="20">
        <v>3</v>
      </c>
      <c r="G72" s="20" t="s">
        <v>2528</v>
      </c>
      <c r="H72" s="284"/>
    </row>
    <row r="73" spans="1:8" ht="38.25">
      <c r="A73" s="22" t="s">
        <v>1537</v>
      </c>
      <c r="B73" s="23" t="s">
        <v>1539</v>
      </c>
      <c r="C73" s="22" t="s">
        <v>48</v>
      </c>
      <c r="D73" s="20">
        <v>1</v>
      </c>
      <c r="E73" s="20">
        <v>1</v>
      </c>
      <c r="F73" s="20">
        <v>1</v>
      </c>
      <c r="G73" s="20" t="s">
        <v>2528</v>
      </c>
      <c r="H73" s="284"/>
    </row>
    <row r="74" spans="1:8" ht="38.25">
      <c r="A74" s="22" t="s">
        <v>1567</v>
      </c>
      <c r="B74" s="23" t="s">
        <v>1569</v>
      </c>
      <c r="C74" s="22" t="s">
        <v>48</v>
      </c>
      <c r="D74" s="20">
        <v>1</v>
      </c>
      <c r="E74" s="20">
        <v>1</v>
      </c>
      <c r="F74" s="20">
        <v>1</v>
      </c>
      <c r="G74" s="20" t="s">
        <v>2528</v>
      </c>
      <c r="H74" s="284"/>
    </row>
    <row r="75" spans="1:8" ht="25.5">
      <c r="A75" s="22" t="s">
        <v>1570</v>
      </c>
      <c r="B75" s="23" t="s">
        <v>1572</v>
      </c>
      <c r="C75" s="22" t="s">
        <v>48</v>
      </c>
      <c r="D75" s="20">
        <v>1</v>
      </c>
      <c r="E75" s="20">
        <v>1</v>
      </c>
      <c r="F75" s="20">
        <v>1</v>
      </c>
      <c r="G75" s="20" t="s">
        <v>2528</v>
      </c>
      <c r="H75" s="284"/>
    </row>
    <row r="76" spans="1:8" ht="38.25">
      <c r="A76" s="22" t="s">
        <v>1573</v>
      </c>
      <c r="B76" s="23" t="s">
        <v>1575</v>
      </c>
      <c r="C76" s="22" t="s">
        <v>48</v>
      </c>
      <c r="D76" s="20">
        <v>1</v>
      </c>
      <c r="E76" s="20">
        <v>1</v>
      </c>
      <c r="F76" s="20">
        <v>1</v>
      </c>
      <c r="G76" s="20" t="s">
        <v>2528</v>
      </c>
      <c r="H76" s="284"/>
    </row>
    <row r="77" spans="1:8" ht="38.25">
      <c r="A77" s="22" t="s">
        <v>1581</v>
      </c>
      <c r="B77" s="23" t="s">
        <v>1583</v>
      </c>
      <c r="C77" s="22" t="s">
        <v>25</v>
      </c>
      <c r="D77" s="20">
        <v>216.42</v>
      </c>
      <c r="E77" s="20">
        <v>216.42</v>
      </c>
      <c r="F77" s="20">
        <v>243.54</v>
      </c>
      <c r="G77" s="20" t="s">
        <v>2528</v>
      </c>
      <c r="H77" s="284"/>
    </row>
    <row r="78" spans="1:8" ht="38.25">
      <c r="A78" s="22" t="s">
        <v>1584</v>
      </c>
      <c r="B78" s="23" t="s">
        <v>1586</v>
      </c>
      <c r="C78" s="22" t="s">
        <v>25</v>
      </c>
      <c r="D78" s="20">
        <v>216.42</v>
      </c>
      <c r="E78" s="20">
        <v>216.42</v>
      </c>
      <c r="F78" s="20">
        <v>243.54</v>
      </c>
      <c r="G78" s="20" t="s">
        <v>2528</v>
      </c>
      <c r="H78" s="284"/>
    </row>
    <row r="79" spans="1:8" ht="38.25">
      <c r="A79" s="22" t="s">
        <v>1598</v>
      </c>
      <c r="B79" s="23" t="s">
        <v>1472</v>
      </c>
      <c r="C79" s="22" t="s">
        <v>25</v>
      </c>
      <c r="D79" s="20">
        <v>174.83</v>
      </c>
      <c r="E79" s="20"/>
      <c r="F79" s="20"/>
      <c r="G79" s="20" t="s">
        <v>2527</v>
      </c>
      <c r="H79" s="285" t="s">
        <v>2541</v>
      </c>
    </row>
    <row r="80" spans="1:8" ht="25.5">
      <c r="A80" s="22" t="s">
        <v>1601</v>
      </c>
      <c r="B80" s="23" t="s">
        <v>1603</v>
      </c>
      <c r="C80" s="22" t="s">
        <v>25</v>
      </c>
      <c r="D80" s="20">
        <v>1105.3499999999999</v>
      </c>
      <c r="E80" s="20"/>
      <c r="F80" s="20"/>
      <c r="G80" s="20" t="s">
        <v>2527</v>
      </c>
      <c r="H80" s="285" t="s">
        <v>2541</v>
      </c>
    </row>
    <row r="81" spans="1:8" ht="38.25">
      <c r="A81" s="22" t="s">
        <v>1620</v>
      </c>
      <c r="B81" s="23" t="s">
        <v>1622</v>
      </c>
      <c r="C81" s="22" t="s">
        <v>193</v>
      </c>
      <c r="D81" s="20">
        <v>283.14999999999998</v>
      </c>
      <c r="E81" s="20">
        <v>283.14999999999998</v>
      </c>
      <c r="F81" s="20"/>
      <c r="G81" s="20" t="s">
        <v>2528</v>
      </c>
      <c r="H81" s="284"/>
    </row>
    <row r="82" spans="1:8" ht="25.5">
      <c r="A82" s="22" t="s">
        <v>1625</v>
      </c>
      <c r="B82" s="23" t="s">
        <v>1627</v>
      </c>
      <c r="C82" s="22" t="s">
        <v>107</v>
      </c>
      <c r="D82" s="20">
        <v>613.13</v>
      </c>
      <c r="E82" s="20">
        <v>613.13</v>
      </c>
      <c r="F82" s="20"/>
      <c r="G82" s="20" t="s">
        <v>2528</v>
      </c>
      <c r="H82" s="284"/>
    </row>
    <row r="83" spans="1:8" ht="38.25">
      <c r="A83" s="22" t="s">
        <v>1631</v>
      </c>
      <c r="B83" s="23" t="s">
        <v>1633</v>
      </c>
      <c r="C83" s="22" t="s">
        <v>25</v>
      </c>
      <c r="D83" s="20">
        <v>1644.34</v>
      </c>
      <c r="E83" s="20"/>
      <c r="F83" s="20"/>
      <c r="G83" s="20" t="s">
        <v>2528</v>
      </c>
      <c r="H83" s="284"/>
    </row>
    <row r="84" spans="1:8" ht="38.25">
      <c r="A84" s="22" t="s">
        <v>1634</v>
      </c>
      <c r="B84" s="23" t="s">
        <v>1636</v>
      </c>
      <c r="C84" s="22" t="s">
        <v>25</v>
      </c>
      <c r="D84" s="20">
        <v>78</v>
      </c>
      <c r="E84" s="20">
        <v>78</v>
      </c>
      <c r="F84" s="20">
        <v>78</v>
      </c>
      <c r="G84" s="20" t="s">
        <v>2528</v>
      </c>
      <c r="H84" s="284"/>
    </row>
    <row r="85" spans="1:8">
      <c r="A85" s="22" t="s">
        <v>1639</v>
      </c>
      <c r="B85" s="23" t="s">
        <v>1641</v>
      </c>
      <c r="C85" s="22" t="s">
        <v>38</v>
      </c>
      <c r="D85" s="20">
        <v>355.31400000000002</v>
      </c>
      <c r="E85" s="20"/>
      <c r="F85" s="20"/>
      <c r="G85" s="20" t="s">
        <v>2528</v>
      </c>
      <c r="H85" s="284"/>
    </row>
    <row r="86" spans="1:8" ht="25.5">
      <c r="A86" s="22" t="s">
        <v>1642</v>
      </c>
      <c r="B86" s="23" t="s">
        <v>1644</v>
      </c>
      <c r="C86" s="22" t="s">
        <v>253</v>
      </c>
      <c r="D86" s="20">
        <v>5</v>
      </c>
      <c r="E86" s="20">
        <v>5</v>
      </c>
      <c r="F86" s="20">
        <v>5</v>
      </c>
      <c r="G86" s="20" t="s">
        <v>2528</v>
      </c>
      <c r="H86" s="284"/>
    </row>
    <row r="87" spans="1:8">
      <c r="A87" s="22" t="s">
        <v>1645</v>
      </c>
      <c r="B87" s="23" t="s">
        <v>1647</v>
      </c>
      <c r="C87" s="22" t="s">
        <v>243</v>
      </c>
      <c r="D87" s="20">
        <v>3553.14</v>
      </c>
      <c r="E87" s="20"/>
      <c r="F87" s="20"/>
      <c r="G87" s="20" t="s">
        <v>2528</v>
      </c>
      <c r="H87" s="284"/>
    </row>
    <row r="88" spans="1:8">
      <c r="A88" s="22" t="s">
        <v>1648</v>
      </c>
      <c r="B88" s="23" t="s">
        <v>1650</v>
      </c>
      <c r="C88" s="22" t="s">
        <v>243</v>
      </c>
      <c r="D88" s="20">
        <v>39.43</v>
      </c>
      <c r="E88" s="20"/>
      <c r="F88" s="20"/>
      <c r="G88" s="20" t="s">
        <v>2528</v>
      </c>
      <c r="H88" s="284"/>
    </row>
    <row r="89" spans="1:8">
      <c r="A89" s="22" t="s">
        <v>1651</v>
      </c>
      <c r="B89" s="23" t="s">
        <v>1653</v>
      </c>
      <c r="C89" s="22" t="s">
        <v>243</v>
      </c>
      <c r="D89" s="20">
        <v>24.18</v>
      </c>
      <c r="E89" s="20"/>
      <c r="F89" s="20"/>
      <c r="G89" s="20" t="s">
        <v>2528</v>
      </c>
      <c r="H89" s="284"/>
    </row>
    <row r="90" spans="1:8">
      <c r="A90" s="22" t="s">
        <v>1654</v>
      </c>
      <c r="B90" s="23" t="s">
        <v>1656</v>
      </c>
      <c r="C90" s="22" t="s">
        <v>243</v>
      </c>
      <c r="D90" s="20">
        <v>21.15</v>
      </c>
      <c r="E90" s="20"/>
      <c r="F90" s="20"/>
      <c r="G90" s="20" t="s">
        <v>2528</v>
      </c>
      <c r="H90" s="284"/>
    </row>
    <row r="91" spans="1:8" ht="45">
      <c r="A91" s="22" t="s">
        <v>1668</v>
      </c>
      <c r="B91" s="23" t="s">
        <v>1670</v>
      </c>
      <c r="C91" s="22" t="s">
        <v>25</v>
      </c>
      <c r="D91" s="20">
        <v>1847.15</v>
      </c>
      <c r="E91" s="20">
        <v>1847.15</v>
      </c>
      <c r="F91" s="20">
        <v>3529.19</v>
      </c>
      <c r="G91" s="20" t="s">
        <v>2528</v>
      </c>
      <c r="H91" s="284" t="s">
        <v>2542</v>
      </c>
    </row>
    <row r="92" spans="1:8" ht="38.25">
      <c r="A92" s="22" t="s">
        <v>1682</v>
      </c>
      <c r="B92" s="23" t="s">
        <v>1684</v>
      </c>
      <c r="C92" s="22" t="s">
        <v>25</v>
      </c>
      <c r="D92" s="20">
        <v>69.180000000000007</v>
      </c>
      <c r="E92" s="20">
        <v>69.180000000000007</v>
      </c>
      <c r="F92" s="20"/>
      <c r="G92" s="20" t="s">
        <v>2528</v>
      </c>
      <c r="H92" s="284"/>
    </row>
    <row r="93" spans="1:8" ht="30">
      <c r="A93" s="22" t="s">
        <v>1707</v>
      </c>
      <c r="B93" s="23" t="s">
        <v>1709</v>
      </c>
      <c r="C93" s="22" t="s">
        <v>107</v>
      </c>
      <c r="D93" s="20">
        <v>282.27999999999997</v>
      </c>
      <c r="E93" s="20">
        <v>129.80000000000001</v>
      </c>
      <c r="F93" s="20"/>
      <c r="G93" s="20" t="s">
        <v>2527</v>
      </c>
      <c r="H93" s="284" t="s">
        <v>2543</v>
      </c>
    </row>
    <row r="94" spans="1:8" ht="25.5">
      <c r="A94" s="22" t="s">
        <v>1723</v>
      </c>
      <c r="B94" s="23" t="s">
        <v>1725</v>
      </c>
      <c r="C94" s="22" t="s">
        <v>253</v>
      </c>
      <c r="D94" s="20">
        <v>1</v>
      </c>
      <c r="E94" s="20">
        <v>1</v>
      </c>
      <c r="F94" s="20">
        <v>1</v>
      </c>
      <c r="G94" s="20" t="s">
        <v>2528</v>
      </c>
      <c r="H94" s="284"/>
    </row>
    <row r="95" spans="1:8" ht="25.5">
      <c r="A95" s="22" t="s">
        <v>1726</v>
      </c>
      <c r="B95" s="23" t="s">
        <v>1728</v>
      </c>
      <c r="C95" s="22" t="s">
        <v>253</v>
      </c>
      <c r="D95" s="20">
        <v>2</v>
      </c>
      <c r="E95" s="20">
        <v>2</v>
      </c>
      <c r="F95" s="20">
        <v>2</v>
      </c>
      <c r="G95" s="20" t="s">
        <v>2528</v>
      </c>
      <c r="H95" s="284"/>
    </row>
    <row r="96" spans="1:8" ht="38.25">
      <c r="A96" s="27" t="s">
        <v>1808</v>
      </c>
      <c r="B96" s="28" t="s">
        <v>1811</v>
      </c>
      <c r="C96" s="27" t="s">
        <v>107</v>
      </c>
      <c r="D96" s="20">
        <v>311.36</v>
      </c>
      <c r="E96" s="20">
        <v>219.67</v>
      </c>
      <c r="F96" s="20"/>
      <c r="G96" s="20" t="s">
        <v>2527</v>
      </c>
      <c r="H96" s="284" t="s">
        <v>2544</v>
      </c>
    </row>
    <row r="97" spans="1:8" ht="45">
      <c r="A97" s="27" t="s">
        <v>1819</v>
      </c>
      <c r="B97" s="29" t="s">
        <v>1820</v>
      </c>
      <c r="C97" s="27" t="s">
        <v>25</v>
      </c>
      <c r="D97" s="20">
        <v>348.12</v>
      </c>
      <c r="E97" s="20"/>
      <c r="F97" s="20"/>
      <c r="G97" s="20" t="s">
        <v>2527</v>
      </c>
      <c r="H97" s="284" t="s">
        <v>2545</v>
      </c>
    </row>
    <row r="98" spans="1:8" ht="60">
      <c r="A98" s="27" t="s">
        <v>1827</v>
      </c>
      <c r="B98" s="29" t="s">
        <v>1828</v>
      </c>
      <c r="C98" s="27" t="s">
        <v>38</v>
      </c>
      <c r="D98" s="20">
        <v>12</v>
      </c>
      <c r="E98" s="20">
        <v>0</v>
      </c>
      <c r="F98" s="20"/>
      <c r="G98" s="20" t="s">
        <v>2528</v>
      </c>
      <c r="H98" s="284" t="s">
        <v>2546</v>
      </c>
    </row>
    <row r="99" spans="1:8">
      <c r="A99" s="27" t="s">
        <v>1845</v>
      </c>
      <c r="B99" s="23" t="s">
        <v>1846</v>
      </c>
      <c r="C99" s="22" t="s">
        <v>25</v>
      </c>
      <c r="D99" s="20">
        <v>19.829999999999998</v>
      </c>
      <c r="E99" s="20">
        <v>19.829999999999998</v>
      </c>
      <c r="F99" s="20">
        <v>19.829999999999998</v>
      </c>
      <c r="G99" s="20" t="s">
        <v>2528</v>
      </c>
      <c r="H99" s="284"/>
    </row>
    <row r="100" spans="1:8" ht="38.25">
      <c r="A100" s="27" t="s">
        <v>1875</v>
      </c>
      <c r="B100" s="23" t="s">
        <v>1876</v>
      </c>
      <c r="C100" s="22" t="s">
        <v>202</v>
      </c>
      <c r="D100" s="20">
        <v>12</v>
      </c>
      <c r="E100" s="20">
        <v>12</v>
      </c>
      <c r="F100" s="20">
        <v>12</v>
      </c>
      <c r="G100" s="20" t="s">
        <v>2528</v>
      </c>
      <c r="H100" s="284"/>
    </row>
    <row r="101" spans="1:8" ht="30">
      <c r="A101" s="27" t="s">
        <v>1877</v>
      </c>
      <c r="B101" s="23" t="s">
        <v>1878</v>
      </c>
      <c r="C101" s="22" t="s">
        <v>25</v>
      </c>
      <c r="D101" s="20">
        <v>3.5649999999999999</v>
      </c>
      <c r="E101" s="20">
        <v>1.26</v>
      </c>
      <c r="F101" s="20">
        <v>3.57</v>
      </c>
      <c r="G101" s="20" t="s">
        <v>2527</v>
      </c>
      <c r="H101" s="285" t="s">
        <v>2547</v>
      </c>
    </row>
    <row r="102" spans="1:8" ht="38.25">
      <c r="A102" s="27" t="s">
        <v>1879</v>
      </c>
      <c r="B102" s="23" t="s">
        <v>1880</v>
      </c>
      <c r="C102" s="22" t="s">
        <v>38</v>
      </c>
      <c r="D102" s="20">
        <v>16.46</v>
      </c>
      <c r="E102" s="20">
        <v>16.46</v>
      </c>
      <c r="F102" s="20">
        <v>16.46</v>
      </c>
      <c r="G102" s="20" t="s">
        <v>2528</v>
      </c>
      <c r="H102" s="284"/>
    </row>
    <row r="103" spans="1:8" ht="45">
      <c r="A103" s="27" t="s">
        <v>1881</v>
      </c>
      <c r="B103" s="34" t="s">
        <v>1882</v>
      </c>
      <c r="C103" s="33" t="s">
        <v>48</v>
      </c>
      <c r="D103" s="4">
        <v>3</v>
      </c>
      <c r="E103" s="20">
        <v>0</v>
      </c>
      <c r="F103" s="20">
        <v>3</v>
      </c>
      <c r="G103" s="20" t="s">
        <v>2527</v>
      </c>
      <c r="H103" s="284" t="s">
        <v>2548</v>
      </c>
    </row>
    <row r="104" spans="1:8" ht="45">
      <c r="A104" s="27" t="s">
        <v>1883</v>
      </c>
      <c r="B104" s="34" t="s">
        <v>1884</v>
      </c>
      <c r="C104" s="33" t="s">
        <v>48</v>
      </c>
      <c r="D104" s="4">
        <v>3</v>
      </c>
      <c r="E104" s="20">
        <v>0</v>
      </c>
      <c r="F104" s="20">
        <v>3</v>
      </c>
      <c r="G104" s="20" t="s">
        <v>2527</v>
      </c>
      <c r="H104" s="284" t="s">
        <v>2548</v>
      </c>
    </row>
    <row r="105" spans="1:8">
      <c r="A105" s="27" t="s">
        <v>1885</v>
      </c>
      <c r="B105" s="23" t="s">
        <v>1886</v>
      </c>
      <c r="C105" s="41" t="s">
        <v>48</v>
      </c>
      <c r="D105" s="4">
        <v>17</v>
      </c>
      <c r="E105" s="20">
        <v>17</v>
      </c>
      <c r="F105" s="20">
        <v>17</v>
      </c>
      <c r="G105" s="20" t="s">
        <v>2528</v>
      </c>
      <c r="H105" s="284"/>
    </row>
    <row r="106" spans="1:8" ht="25.5">
      <c r="A106" s="27" t="s">
        <v>1887</v>
      </c>
      <c r="B106" s="23" t="s">
        <v>1888</v>
      </c>
      <c r="C106" s="22" t="s">
        <v>25</v>
      </c>
      <c r="D106" s="4">
        <v>108.45</v>
      </c>
      <c r="E106" s="20"/>
      <c r="F106" s="20">
        <v>108.45</v>
      </c>
      <c r="G106" s="20" t="s">
        <v>2528</v>
      </c>
      <c r="H106" s="284"/>
    </row>
    <row r="107" spans="1:8" ht="25.5">
      <c r="A107" s="27" t="s">
        <v>1889</v>
      </c>
      <c r="B107" s="23" t="s">
        <v>1890</v>
      </c>
      <c r="C107" s="22" t="s">
        <v>48</v>
      </c>
      <c r="D107" s="4">
        <v>1</v>
      </c>
      <c r="E107" s="20">
        <v>1</v>
      </c>
      <c r="F107" s="20">
        <v>1</v>
      </c>
      <c r="G107" s="20" t="s">
        <v>2528</v>
      </c>
      <c r="H107" s="284"/>
    </row>
    <row r="108" spans="1:8">
      <c r="A108" s="27" t="s">
        <v>1891</v>
      </c>
      <c r="B108" s="23" t="s">
        <v>1892</v>
      </c>
      <c r="C108" s="22" t="s">
        <v>25</v>
      </c>
      <c r="D108" s="4">
        <v>62.95</v>
      </c>
      <c r="E108" s="20">
        <v>62.95</v>
      </c>
      <c r="F108" s="20">
        <v>62.95</v>
      </c>
      <c r="G108" s="20" t="s">
        <v>2528</v>
      </c>
      <c r="H108" s="284"/>
    </row>
    <row r="109" spans="1:8" ht="25.5">
      <c r="A109" s="27" t="s">
        <v>1893</v>
      </c>
      <c r="B109" s="23" t="s">
        <v>1896</v>
      </c>
      <c r="C109" s="22" t="s">
        <v>243</v>
      </c>
      <c r="D109" s="4">
        <v>175.1</v>
      </c>
      <c r="E109" s="20">
        <v>172.05</v>
      </c>
      <c r="F109" s="20"/>
      <c r="G109" s="20" t="s">
        <v>2527</v>
      </c>
      <c r="H109" s="284" t="s">
        <v>2549</v>
      </c>
    </row>
    <row r="110" spans="1:8">
      <c r="A110" s="27" t="s">
        <v>1894</v>
      </c>
      <c r="B110" s="23" t="s">
        <v>1898</v>
      </c>
      <c r="C110" s="22" t="s">
        <v>243</v>
      </c>
      <c r="D110" s="4">
        <v>113.8</v>
      </c>
      <c r="E110" s="20">
        <v>113.8</v>
      </c>
      <c r="F110" s="20">
        <v>113.8</v>
      </c>
      <c r="G110" s="20" t="s">
        <v>2528</v>
      </c>
      <c r="H110" s="284"/>
    </row>
    <row r="111" spans="1:8" ht="25.5">
      <c r="A111" s="27" t="s">
        <v>1895</v>
      </c>
      <c r="B111" s="23" t="s">
        <v>2481</v>
      </c>
      <c r="C111" s="22" t="s">
        <v>202</v>
      </c>
      <c r="D111" s="4">
        <v>3</v>
      </c>
      <c r="E111" s="20">
        <v>3</v>
      </c>
      <c r="F111" s="20"/>
      <c r="G111" s="20" t="s">
        <v>2528</v>
      </c>
      <c r="H111" s="284"/>
    </row>
    <row r="112" spans="1:8" ht="25.5">
      <c r="A112" s="27" t="s">
        <v>1897</v>
      </c>
      <c r="B112" s="23" t="s">
        <v>2500</v>
      </c>
      <c r="C112" s="22" t="s">
        <v>253</v>
      </c>
      <c r="D112" s="20">
        <v>1</v>
      </c>
      <c r="E112" s="20"/>
      <c r="F112" s="20"/>
      <c r="G112" s="20" t="s">
        <v>2527</v>
      </c>
      <c r="H112" s="284" t="s">
        <v>2550</v>
      </c>
    </row>
    <row r="113" spans="1:8" ht="25.5">
      <c r="A113" s="27" t="s">
        <v>2499</v>
      </c>
      <c r="B113" s="23" t="s">
        <v>2501</v>
      </c>
      <c r="C113" s="22" t="s">
        <v>253</v>
      </c>
      <c r="D113" s="20">
        <v>1</v>
      </c>
      <c r="E113" s="20"/>
      <c r="F113" s="20"/>
      <c r="G113" s="20" t="s">
        <v>2527</v>
      </c>
      <c r="H113" s="284" t="s">
        <v>2550</v>
      </c>
    </row>
    <row r="114" spans="1:8" ht="30">
      <c r="A114" s="27" t="s">
        <v>1885</v>
      </c>
      <c r="B114" s="23" t="s">
        <v>2502</v>
      </c>
      <c r="C114" s="41" t="s">
        <v>48</v>
      </c>
      <c r="D114" s="4">
        <v>74</v>
      </c>
      <c r="E114" s="20"/>
      <c r="F114" s="20"/>
      <c r="G114" s="20" t="s">
        <v>2527</v>
      </c>
      <c r="H114" s="284" t="s">
        <v>2551</v>
      </c>
    </row>
  </sheetData>
  <conditionalFormatting sqref="G1:H114">
    <cfRule type="cellIs" dxfId="2" priority="1" operator="equal">
      <formula>"ANALISAR"</formula>
    </cfRule>
  </conditionalFormatting>
  <pageMargins left="0.23622047244094491" right="0.23622047244094491" top="0.74803149606299213" bottom="0.74803149606299213" header="0.31496062992125984" footer="0.31496062992125984"/>
  <pageSetup paperSize="9" scale="72" fitToHeight="0" orientation="landscape"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O815"/>
  <sheetViews>
    <sheetView view="pageBreakPreview" zoomScale="70" zoomScaleNormal="70" zoomScalePageLayoutView="70" workbookViewId="0">
      <pane ySplit="4" topLeftCell="A748" activePane="bottomLeft" state="frozen"/>
      <selection pane="bottomLeft" activeCell="R756" sqref="R756"/>
    </sheetView>
  </sheetViews>
  <sheetFormatPr defaultColWidth="9.140625" defaultRowHeight="14.25"/>
  <cols>
    <col min="1" max="1" width="11.140625" style="47" customWidth="1"/>
    <col min="2" max="2" width="14.28515625" style="47" customWidth="1"/>
    <col min="3" max="3" width="8.85546875" style="47" customWidth="1"/>
    <col min="4" max="4" width="49.140625" style="48" customWidth="1"/>
    <col min="5" max="5" width="9.7109375" style="47" customWidth="1"/>
    <col min="6" max="6" width="12.28515625" style="47" customWidth="1"/>
    <col min="7" max="7" width="20.140625" style="47" hidden="1" customWidth="1"/>
    <col min="8" max="8" width="27.42578125" style="47" hidden="1" customWidth="1"/>
    <col min="9" max="9" width="1.5703125" style="47" hidden="1" customWidth="1"/>
    <col min="10" max="10" width="12.5703125" style="49" hidden="1" customWidth="1"/>
    <col min="11" max="11" width="14" style="49" hidden="1" customWidth="1"/>
    <col min="12" max="12" width="8.85546875" style="50" hidden="1" customWidth="1"/>
    <col min="13" max="13" width="17.7109375" style="50" customWidth="1"/>
    <col min="14" max="14" width="15.42578125" style="50" customWidth="1"/>
    <col min="15" max="15" width="15.28515625" style="50" customWidth="1"/>
    <col min="16" max="16" width="37.5703125" style="51" customWidth="1"/>
    <col min="17" max="17" width="11.5703125" style="50" customWidth="1"/>
    <col min="18" max="18" width="38.7109375" style="49" customWidth="1"/>
    <col min="19" max="19" width="12.28515625" style="50" customWidth="1"/>
    <col min="20" max="41" width="10.140625" style="47" hidden="1" customWidth="1"/>
    <col min="42" max="16375" width="9.140625" style="47"/>
    <col min="16376" max="16384" width="11" style="47" customWidth="1"/>
  </cols>
  <sheetData>
    <row r="1" spans="1:21" ht="14.45" customHeight="1">
      <c r="A1" s="377" t="s">
        <v>1953</v>
      </c>
      <c r="B1" s="377"/>
      <c r="C1" s="377"/>
      <c r="D1" s="377"/>
      <c r="E1" s="377"/>
      <c r="F1" s="377"/>
      <c r="G1" s="377"/>
      <c r="H1" s="377"/>
      <c r="I1" s="377"/>
      <c r="J1" s="377"/>
      <c r="K1" s="377"/>
      <c r="L1" s="377"/>
      <c r="M1" s="377"/>
      <c r="N1" s="377"/>
      <c r="O1" s="377"/>
      <c r="P1" s="377"/>
      <c r="Q1" s="377"/>
      <c r="R1" s="377"/>
      <c r="S1" s="377"/>
    </row>
    <row r="2" spans="1:21" ht="14.45" customHeight="1">
      <c r="A2" s="378" t="s">
        <v>1954</v>
      </c>
      <c r="B2" s="379" t="s">
        <v>1955</v>
      </c>
      <c r="C2" s="379" t="s">
        <v>1956</v>
      </c>
      <c r="D2" s="380" t="s">
        <v>1957</v>
      </c>
      <c r="E2" s="379" t="s">
        <v>1958</v>
      </c>
      <c r="F2" s="379" t="s">
        <v>1959</v>
      </c>
      <c r="G2" s="381" t="s">
        <v>1960</v>
      </c>
      <c r="H2" s="381"/>
      <c r="I2" s="381"/>
      <c r="J2" s="382" t="s">
        <v>1961</v>
      </c>
      <c r="K2" s="382"/>
      <c r="L2" s="382"/>
      <c r="M2" s="382" t="s">
        <v>1</v>
      </c>
      <c r="N2" s="382"/>
      <c r="O2" s="382"/>
      <c r="P2" s="383"/>
      <c r="Q2" s="383"/>
      <c r="R2" s="383"/>
      <c r="S2" s="383"/>
    </row>
    <row r="3" spans="1:21" ht="39.6" customHeight="1">
      <c r="A3" s="378"/>
      <c r="B3" s="379"/>
      <c r="C3" s="379"/>
      <c r="D3" s="380"/>
      <c r="E3" s="379"/>
      <c r="F3" s="379"/>
      <c r="G3" s="381"/>
      <c r="H3" s="381"/>
      <c r="I3" s="381"/>
      <c r="J3" s="52" t="s">
        <v>3</v>
      </c>
      <c r="K3" s="52" t="s">
        <v>4</v>
      </c>
      <c r="L3" s="52" t="s">
        <v>5</v>
      </c>
      <c r="M3" s="52" t="s">
        <v>3</v>
      </c>
      <c r="N3" s="52" t="s">
        <v>4</v>
      </c>
      <c r="O3" s="52" t="s">
        <v>5</v>
      </c>
      <c r="P3" s="382" t="s">
        <v>1962</v>
      </c>
      <c r="Q3" s="382"/>
      <c r="R3" s="383" t="s">
        <v>1963</v>
      </c>
      <c r="S3" s="383"/>
    </row>
    <row r="4" spans="1:21" ht="13.9" customHeight="1">
      <c r="A4" s="378"/>
      <c r="B4" s="379"/>
      <c r="C4" s="379"/>
      <c r="D4" s="380"/>
      <c r="E4" s="379"/>
      <c r="F4" s="379"/>
      <c r="G4" s="379" t="s">
        <v>1964</v>
      </c>
      <c r="H4" s="379"/>
      <c r="I4" s="379"/>
      <c r="J4" s="53"/>
      <c r="K4" s="53"/>
      <c r="L4" s="54"/>
      <c r="M4" s="54"/>
      <c r="N4" s="54"/>
      <c r="O4" s="54"/>
      <c r="P4" s="53" t="s">
        <v>1964</v>
      </c>
      <c r="Q4" s="54"/>
      <c r="R4" s="53" t="s">
        <v>1964</v>
      </c>
      <c r="S4" s="55"/>
    </row>
    <row r="5" spans="1:21" customFormat="1" ht="15">
      <c r="A5" s="56" t="s">
        <v>18</v>
      </c>
      <c r="B5" s="57"/>
      <c r="C5" s="57"/>
      <c r="D5" s="58" t="s">
        <v>19</v>
      </c>
      <c r="E5" s="57"/>
      <c r="F5" s="57"/>
      <c r="G5" s="384"/>
      <c r="H5" s="384"/>
      <c r="I5" s="384"/>
      <c r="J5" s="57"/>
      <c r="K5" s="57"/>
      <c r="L5" s="57"/>
      <c r="M5" s="12"/>
      <c r="N5" s="57"/>
      <c r="O5" s="57"/>
      <c r="P5" s="57"/>
      <c r="Q5" s="57"/>
      <c r="R5" s="57"/>
      <c r="S5" s="59"/>
    </row>
    <row r="6" spans="1:21" customFormat="1" ht="23.85" customHeight="1">
      <c r="A6" s="60" t="s">
        <v>20</v>
      </c>
      <c r="B6" s="21"/>
      <c r="C6" s="21"/>
      <c r="D6" s="61" t="s">
        <v>21</v>
      </c>
      <c r="E6" s="21"/>
      <c r="F6" s="21"/>
      <c r="G6" s="385" t="s">
        <v>1965</v>
      </c>
      <c r="H6" s="385"/>
      <c r="I6" s="385"/>
      <c r="J6" s="21"/>
      <c r="K6" s="21"/>
      <c r="L6" s="21"/>
      <c r="M6" s="12"/>
      <c r="N6" s="21"/>
      <c r="O6" s="21"/>
      <c r="P6" s="21"/>
      <c r="Q6" s="21"/>
      <c r="R6" s="21"/>
      <c r="S6" s="63"/>
    </row>
    <row r="7" spans="1:21" customFormat="1" ht="23.85" customHeight="1">
      <c r="A7" s="64" t="s">
        <v>22</v>
      </c>
      <c r="B7" s="65" t="s">
        <v>1966</v>
      </c>
      <c r="C7" s="65" t="s">
        <v>23</v>
      </c>
      <c r="D7" s="66" t="s">
        <v>24</v>
      </c>
      <c r="E7" s="65" t="s">
        <v>25</v>
      </c>
      <c r="F7" s="65">
        <v>1296.8499999999999</v>
      </c>
      <c r="G7" s="386" t="s">
        <v>1967</v>
      </c>
      <c r="H7" s="386"/>
      <c r="I7" s="386"/>
      <c r="J7" s="68">
        <v>630.9</v>
      </c>
      <c r="K7" s="69"/>
      <c r="L7" s="68"/>
      <c r="M7" s="20">
        <v>513.45000000000005</v>
      </c>
      <c r="N7" s="68"/>
      <c r="O7" s="68"/>
      <c r="P7" s="70" t="s">
        <v>1968</v>
      </c>
      <c r="Q7" s="68">
        <f>F7</f>
        <v>1296.8499999999999</v>
      </c>
      <c r="R7" s="70" t="s">
        <v>2503</v>
      </c>
      <c r="S7" s="71">
        <f>F7+J7-K7+M7</f>
        <v>2441.1999999999998</v>
      </c>
      <c r="T7" t="s">
        <v>1969</v>
      </c>
      <c r="U7" t="s">
        <v>1970</v>
      </c>
    </row>
    <row r="8" spans="1:21" customFormat="1" ht="35.1" customHeight="1">
      <c r="A8" s="64" t="s">
        <v>26</v>
      </c>
      <c r="B8" s="65" t="s">
        <v>27</v>
      </c>
      <c r="C8" s="65" t="s">
        <v>23</v>
      </c>
      <c r="D8" s="72" t="s">
        <v>28</v>
      </c>
      <c r="E8" s="65" t="s">
        <v>25</v>
      </c>
      <c r="F8" s="65">
        <v>1643.13</v>
      </c>
      <c r="G8" s="385" t="s">
        <v>1971</v>
      </c>
      <c r="H8" s="385"/>
      <c r="I8" s="385"/>
      <c r="J8" s="68"/>
      <c r="K8" s="69"/>
      <c r="L8" s="68"/>
      <c r="M8" s="20">
        <v>23.91</v>
      </c>
      <c r="N8" s="68"/>
      <c r="O8" s="68"/>
      <c r="P8" s="70" t="s">
        <v>1972</v>
      </c>
      <c r="Q8" s="68">
        <f>F8</f>
        <v>1643.13</v>
      </c>
      <c r="R8" s="70" t="s">
        <v>1973</v>
      </c>
      <c r="S8" s="71">
        <f>F8+J8-K8+M8</f>
        <v>1667.0400000000002</v>
      </c>
    </row>
    <row r="9" spans="1:21" customFormat="1" ht="35.1" customHeight="1">
      <c r="A9" s="64" t="s">
        <v>29</v>
      </c>
      <c r="B9" s="65" t="s">
        <v>30</v>
      </c>
      <c r="C9" s="65" t="s">
        <v>23</v>
      </c>
      <c r="D9" s="72" t="s">
        <v>31</v>
      </c>
      <c r="E9" s="65" t="s">
        <v>25</v>
      </c>
      <c r="F9" s="65">
        <v>1232.06</v>
      </c>
      <c r="G9" s="385" t="s">
        <v>1974</v>
      </c>
      <c r="H9" s="385"/>
      <c r="I9" s="385"/>
      <c r="J9" s="68"/>
      <c r="K9" s="69"/>
      <c r="L9" s="68"/>
      <c r="M9" s="20"/>
      <c r="N9" s="68"/>
      <c r="O9" s="68"/>
      <c r="P9" s="73"/>
      <c r="Q9" s="68"/>
      <c r="R9" s="73"/>
      <c r="S9" s="74"/>
    </row>
    <row r="10" spans="1:21" customFormat="1" ht="35.1" customHeight="1">
      <c r="A10" s="64" t="s">
        <v>32</v>
      </c>
      <c r="B10" s="65" t="s">
        <v>33</v>
      </c>
      <c r="C10" s="65" t="s">
        <v>23</v>
      </c>
      <c r="D10" s="72" t="s">
        <v>34</v>
      </c>
      <c r="E10" s="65" t="s">
        <v>25</v>
      </c>
      <c r="F10" s="65">
        <v>947.97</v>
      </c>
      <c r="G10" s="385" t="s">
        <v>1975</v>
      </c>
      <c r="H10" s="385"/>
      <c r="I10" s="385"/>
      <c r="J10" s="68"/>
      <c r="K10" s="68"/>
      <c r="L10" s="68"/>
      <c r="M10" s="20">
        <v>152</v>
      </c>
      <c r="N10" s="68"/>
      <c r="O10" s="68"/>
      <c r="P10" s="70" t="s">
        <v>1972</v>
      </c>
      <c r="Q10" s="68">
        <f>F10</f>
        <v>947.97</v>
      </c>
      <c r="R10" s="70" t="s">
        <v>2504</v>
      </c>
      <c r="S10" s="71">
        <f>F10+J10-K10+M10</f>
        <v>1099.97</v>
      </c>
    </row>
    <row r="11" spans="1:21" customFormat="1" ht="23.85" customHeight="1">
      <c r="A11" s="64" t="s">
        <v>35</v>
      </c>
      <c r="B11" s="65" t="s">
        <v>36</v>
      </c>
      <c r="C11" s="65" t="s">
        <v>23</v>
      </c>
      <c r="D11" s="72" t="s">
        <v>37</v>
      </c>
      <c r="E11" s="65" t="s">
        <v>38</v>
      </c>
      <c r="F11" s="65">
        <v>367.52</v>
      </c>
      <c r="G11" s="386" t="s">
        <v>1967</v>
      </c>
      <c r="H11" s="386"/>
      <c r="I11" s="386"/>
      <c r="J11" s="68"/>
      <c r="K11" s="69"/>
      <c r="L11" s="68"/>
      <c r="M11" s="20">
        <f>(39+63.206+17.056)*0.1</f>
        <v>11.926200000000001</v>
      </c>
      <c r="N11" s="68"/>
      <c r="O11" s="68"/>
      <c r="P11" s="70" t="s">
        <v>1972</v>
      </c>
      <c r="Q11" s="68">
        <f>F11</f>
        <v>367.52</v>
      </c>
      <c r="R11" s="70" t="s">
        <v>1976</v>
      </c>
      <c r="S11" s="71">
        <f>F11+J11-K11+M11</f>
        <v>379.44619999999998</v>
      </c>
    </row>
    <row r="12" spans="1:21" customFormat="1" ht="25.5">
      <c r="A12" s="64" t="s">
        <v>39</v>
      </c>
      <c r="B12" s="65" t="s">
        <v>40</v>
      </c>
      <c r="C12" s="65" t="s">
        <v>23</v>
      </c>
      <c r="D12" s="72" t="s">
        <v>41</v>
      </c>
      <c r="E12" s="65" t="s">
        <v>25</v>
      </c>
      <c r="F12" s="65">
        <v>284.95999999999998</v>
      </c>
      <c r="G12" s="387"/>
      <c r="H12" s="387"/>
      <c r="I12" s="387"/>
      <c r="J12" s="68"/>
      <c r="K12" s="69"/>
      <c r="L12" s="68"/>
      <c r="M12" s="20"/>
      <c r="N12" s="68"/>
      <c r="O12" s="68"/>
      <c r="P12" s="70"/>
      <c r="Q12" s="68"/>
      <c r="R12" s="69"/>
      <c r="S12" s="71"/>
    </row>
    <row r="13" spans="1:21" customFormat="1" ht="35.1" customHeight="1">
      <c r="A13" s="64" t="s">
        <v>42</v>
      </c>
      <c r="B13" s="65" t="s">
        <v>43</v>
      </c>
      <c r="C13" s="65" t="s">
        <v>23</v>
      </c>
      <c r="D13" s="72" t="s">
        <v>44</v>
      </c>
      <c r="E13" s="65" t="s">
        <v>25</v>
      </c>
      <c r="F13" s="65">
        <v>40.450000000000003</v>
      </c>
      <c r="G13" s="385" t="s">
        <v>1977</v>
      </c>
      <c r="H13" s="385"/>
      <c r="I13" s="385"/>
      <c r="J13" s="68"/>
      <c r="K13" s="69"/>
      <c r="L13" s="68"/>
      <c r="M13" s="20"/>
      <c r="N13" s="68"/>
      <c r="O13" s="68"/>
      <c r="P13" s="70"/>
      <c r="Q13" s="68"/>
      <c r="R13" s="70"/>
      <c r="S13" s="71"/>
    </row>
    <row r="14" spans="1:21" customFormat="1" ht="35.1" customHeight="1">
      <c r="A14" s="64" t="s">
        <v>45</v>
      </c>
      <c r="B14" s="65" t="s">
        <v>46</v>
      </c>
      <c r="C14" s="65" t="s">
        <v>23</v>
      </c>
      <c r="D14" s="72" t="s">
        <v>47</v>
      </c>
      <c r="E14" s="65" t="s">
        <v>48</v>
      </c>
      <c r="F14" s="65">
        <v>126</v>
      </c>
      <c r="G14" s="385" t="s">
        <v>1978</v>
      </c>
      <c r="H14" s="385"/>
      <c r="I14" s="385"/>
      <c r="J14" s="68"/>
      <c r="K14" s="69"/>
      <c r="L14" s="68"/>
      <c r="M14" s="20"/>
      <c r="N14" s="68"/>
      <c r="O14" s="68"/>
      <c r="P14" s="70"/>
      <c r="Q14" s="68"/>
      <c r="R14" s="70"/>
      <c r="S14" s="71"/>
    </row>
    <row r="15" spans="1:21" customFormat="1" ht="35.1" customHeight="1">
      <c r="A15" s="64" t="s">
        <v>49</v>
      </c>
      <c r="B15" s="65" t="s">
        <v>50</v>
      </c>
      <c r="C15" s="65" t="s">
        <v>23</v>
      </c>
      <c r="D15" s="72" t="s">
        <v>51</v>
      </c>
      <c r="E15" s="65" t="s">
        <v>25</v>
      </c>
      <c r="F15" s="65">
        <v>16.16</v>
      </c>
      <c r="G15" s="385" t="s">
        <v>1979</v>
      </c>
      <c r="H15" s="385"/>
      <c r="I15" s="385"/>
      <c r="J15" s="68">
        <v>385.15</v>
      </c>
      <c r="K15" s="69"/>
      <c r="L15" s="68"/>
      <c r="M15" s="20">
        <f>139.82*2</f>
        <v>279.64</v>
      </c>
      <c r="N15" s="68"/>
      <c r="O15" s="68"/>
      <c r="P15" s="70">
        <v>16.16</v>
      </c>
      <c r="Q15" s="68">
        <f>F15</f>
        <v>16.16</v>
      </c>
      <c r="R15" s="70" t="s">
        <v>1980</v>
      </c>
      <c r="S15" s="71">
        <f>F15+J15-K15+M15</f>
        <v>680.95</v>
      </c>
      <c r="U15" s="75" t="s">
        <v>1981</v>
      </c>
    </row>
    <row r="16" spans="1:21" customFormat="1" ht="35.1" customHeight="1">
      <c r="A16" s="64" t="s">
        <v>52</v>
      </c>
      <c r="B16" s="65" t="s">
        <v>53</v>
      </c>
      <c r="C16" s="65" t="s">
        <v>23</v>
      </c>
      <c r="D16" s="72" t="s">
        <v>54</v>
      </c>
      <c r="E16" s="65" t="s">
        <v>25</v>
      </c>
      <c r="F16" s="65">
        <v>25.81</v>
      </c>
      <c r="G16" s="385" t="s">
        <v>1982</v>
      </c>
      <c r="H16" s="385"/>
      <c r="I16" s="385"/>
      <c r="J16" s="68"/>
      <c r="K16" s="68"/>
      <c r="L16" s="68"/>
      <c r="M16" s="20"/>
      <c r="N16" s="68"/>
      <c r="O16" s="68"/>
      <c r="P16" s="70"/>
      <c r="Q16" s="68"/>
      <c r="R16" s="70"/>
      <c r="S16" s="71"/>
    </row>
    <row r="17" spans="1:21" customFormat="1" ht="35.1" customHeight="1">
      <c r="A17" s="64" t="s">
        <v>55</v>
      </c>
      <c r="B17" s="65" t="s">
        <v>56</v>
      </c>
      <c r="C17" s="65" t="s">
        <v>23</v>
      </c>
      <c r="D17" s="72" t="s">
        <v>57</v>
      </c>
      <c r="E17" s="65" t="s">
        <v>48</v>
      </c>
      <c r="F17" s="65">
        <v>5</v>
      </c>
      <c r="G17" s="385" t="s">
        <v>1982</v>
      </c>
      <c r="H17" s="385"/>
      <c r="I17" s="385"/>
      <c r="J17" s="68"/>
      <c r="K17" s="68"/>
      <c r="L17" s="68"/>
      <c r="M17" s="20"/>
      <c r="N17" s="68"/>
      <c r="O17" s="68"/>
      <c r="P17" s="70"/>
      <c r="Q17" s="68"/>
      <c r="R17" s="70"/>
      <c r="S17" s="71"/>
    </row>
    <row r="18" spans="1:21" customFormat="1" ht="35.1" customHeight="1">
      <c r="A18" s="64" t="s">
        <v>58</v>
      </c>
      <c r="B18" s="65" t="s">
        <v>59</v>
      </c>
      <c r="C18" s="65" t="s">
        <v>23</v>
      </c>
      <c r="D18" s="72" t="s">
        <v>60</v>
      </c>
      <c r="E18" s="65" t="s">
        <v>25</v>
      </c>
      <c r="F18" s="65">
        <v>997.58</v>
      </c>
      <c r="G18" s="385" t="s">
        <v>1979</v>
      </c>
      <c r="H18" s="385"/>
      <c r="I18" s="385"/>
      <c r="J18" s="68"/>
      <c r="K18" s="69"/>
      <c r="L18" s="68"/>
      <c r="M18" s="20"/>
      <c r="N18" s="68"/>
      <c r="O18" s="68"/>
      <c r="P18" s="70"/>
      <c r="Q18" s="70"/>
      <c r="R18" s="70"/>
      <c r="S18" s="71"/>
    </row>
    <row r="19" spans="1:21" customFormat="1" ht="35.1" customHeight="1">
      <c r="A19" s="64" t="s">
        <v>61</v>
      </c>
      <c r="B19" s="65" t="s">
        <v>62</v>
      </c>
      <c r="C19" s="65" t="s">
        <v>23</v>
      </c>
      <c r="D19" s="72" t="s">
        <v>63</v>
      </c>
      <c r="E19" s="65" t="s">
        <v>48</v>
      </c>
      <c r="F19" s="65">
        <v>5</v>
      </c>
      <c r="G19" s="385" t="s">
        <v>1983</v>
      </c>
      <c r="H19" s="385"/>
      <c r="I19" s="385"/>
      <c r="J19" s="68"/>
      <c r="K19" s="69"/>
      <c r="L19" s="68"/>
      <c r="M19" s="20"/>
      <c r="N19" s="68"/>
      <c r="O19" s="68"/>
      <c r="P19" s="70"/>
      <c r="Q19" s="70"/>
      <c r="R19" s="76"/>
      <c r="S19" s="71"/>
    </row>
    <row r="20" spans="1:21" customFormat="1" ht="25.5">
      <c r="A20" s="64" t="s">
        <v>64</v>
      </c>
      <c r="B20" s="65" t="s">
        <v>65</v>
      </c>
      <c r="C20" s="65" t="s">
        <v>23</v>
      </c>
      <c r="D20" s="72" t="s">
        <v>66</v>
      </c>
      <c r="E20" s="65" t="s">
        <v>25</v>
      </c>
      <c r="F20" s="65">
        <v>4453.5200000000004</v>
      </c>
      <c r="G20" s="387"/>
      <c r="H20" s="387"/>
      <c r="I20" s="387"/>
      <c r="J20" s="68"/>
      <c r="K20" s="69"/>
      <c r="L20" s="68"/>
      <c r="M20" s="20">
        <v>88.46</v>
      </c>
      <c r="N20" s="68"/>
      <c r="O20" s="68"/>
      <c r="P20" s="70" t="s">
        <v>1972</v>
      </c>
      <c r="Q20" s="68">
        <f>F20</f>
        <v>4453.5200000000004</v>
      </c>
      <c r="R20" s="69" t="s">
        <v>1984</v>
      </c>
      <c r="S20" s="71">
        <f>F20+J20-K20+M20</f>
        <v>4541.9800000000005</v>
      </c>
    </row>
    <row r="21" spans="1:21" customFormat="1" ht="35.1" customHeight="1">
      <c r="A21" s="64" t="s">
        <v>67</v>
      </c>
      <c r="B21" s="65" t="s">
        <v>68</v>
      </c>
      <c r="C21" s="65" t="s">
        <v>23</v>
      </c>
      <c r="D21" s="72" t="s">
        <v>69</v>
      </c>
      <c r="E21" s="65" t="s">
        <v>48</v>
      </c>
      <c r="F21" s="65">
        <v>15</v>
      </c>
      <c r="G21" s="385" t="s">
        <v>1979</v>
      </c>
      <c r="H21" s="385"/>
      <c r="I21" s="385"/>
      <c r="J21" s="68"/>
      <c r="K21" s="69"/>
      <c r="L21" s="68"/>
      <c r="M21" s="20"/>
      <c r="N21" s="68"/>
      <c r="O21" s="68"/>
      <c r="P21" s="76"/>
      <c r="Q21" s="73"/>
      <c r="R21" s="70"/>
      <c r="S21" s="71"/>
    </row>
    <row r="22" spans="1:21" customFormat="1" ht="35.1" customHeight="1">
      <c r="A22" s="64" t="s">
        <v>70</v>
      </c>
      <c r="B22" s="65" t="s">
        <v>71</v>
      </c>
      <c r="C22" s="65" t="s">
        <v>23</v>
      </c>
      <c r="D22" s="72" t="s">
        <v>72</v>
      </c>
      <c r="E22" s="65" t="s">
        <v>25</v>
      </c>
      <c r="F22" s="65">
        <v>13252.88</v>
      </c>
      <c r="G22" s="385" t="s">
        <v>1979</v>
      </c>
      <c r="H22" s="385"/>
      <c r="I22" s="385"/>
      <c r="J22" s="68"/>
      <c r="K22" s="69"/>
      <c r="L22" s="68"/>
      <c r="M22" s="20">
        <f>143.88+115.96</f>
        <v>259.83999999999997</v>
      </c>
      <c r="N22" s="68"/>
      <c r="O22" s="68"/>
      <c r="P22" s="70" t="s">
        <v>1972</v>
      </c>
      <c r="Q22" s="68">
        <f>F22</f>
        <v>13252.88</v>
      </c>
      <c r="R22" s="70" t="s">
        <v>1985</v>
      </c>
      <c r="S22" s="71">
        <f>F22+J22-K22+M22</f>
        <v>13512.72</v>
      </c>
    </row>
    <row r="23" spans="1:21" customFormat="1" ht="35.1" customHeight="1">
      <c r="A23" s="60" t="s">
        <v>73</v>
      </c>
      <c r="B23" s="21"/>
      <c r="C23" s="21"/>
      <c r="D23" s="61" t="s">
        <v>21</v>
      </c>
      <c r="E23" s="21"/>
      <c r="F23" s="21"/>
      <c r="G23" s="385" t="s">
        <v>1982</v>
      </c>
      <c r="H23" s="385"/>
      <c r="I23" s="385"/>
      <c r="J23" s="77"/>
      <c r="K23" s="78"/>
      <c r="L23" s="77"/>
      <c r="M23" s="12"/>
      <c r="N23" s="77"/>
      <c r="O23" s="77"/>
      <c r="P23" s="79"/>
      <c r="Q23" s="77"/>
      <c r="R23" s="79"/>
      <c r="S23" s="80"/>
    </row>
    <row r="24" spans="1:21" customFormat="1" ht="35.1" customHeight="1">
      <c r="A24" s="64" t="s">
        <v>74</v>
      </c>
      <c r="B24" s="65" t="s">
        <v>75</v>
      </c>
      <c r="C24" s="65" t="s">
        <v>23</v>
      </c>
      <c r="D24" s="72" t="s">
        <v>76</v>
      </c>
      <c r="E24" s="65" t="s">
        <v>25</v>
      </c>
      <c r="F24" s="65">
        <v>349.18</v>
      </c>
      <c r="G24" s="385" t="s">
        <v>1982</v>
      </c>
      <c r="H24" s="385"/>
      <c r="I24" s="385"/>
      <c r="J24" s="68"/>
      <c r="K24" s="68"/>
      <c r="L24" s="68"/>
      <c r="M24" s="20"/>
      <c r="N24" s="68"/>
      <c r="O24" s="68"/>
      <c r="P24" s="70"/>
      <c r="Q24" s="68"/>
      <c r="R24" s="70"/>
      <c r="S24" s="71"/>
    </row>
    <row r="25" spans="1:21" customFormat="1" ht="35.1" customHeight="1">
      <c r="A25" s="64" t="s">
        <v>77</v>
      </c>
      <c r="B25" s="65" t="s">
        <v>78</v>
      </c>
      <c r="C25" s="65" t="s">
        <v>23</v>
      </c>
      <c r="D25" s="72" t="s">
        <v>79</v>
      </c>
      <c r="E25" s="65" t="s">
        <v>48</v>
      </c>
      <c r="F25" s="65">
        <v>70</v>
      </c>
      <c r="G25" s="385" t="s">
        <v>1982</v>
      </c>
      <c r="H25" s="385"/>
      <c r="I25" s="385"/>
      <c r="J25" s="68"/>
      <c r="K25" s="68"/>
      <c r="L25" s="68"/>
      <c r="M25" s="20"/>
      <c r="N25" s="68"/>
      <c r="O25" s="68"/>
      <c r="P25" s="70"/>
      <c r="Q25" s="68"/>
      <c r="R25" s="70"/>
      <c r="S25" s="71"/>
    </row>
    <row r="26" spans="1:21" customFormat="1" ht="35.1" customHeight="1">
      <c r="A26" s="64" t="s">
        <v>80</v>
      </c>
      <c r="B26" s="65" t="s">
        <v>81</v>
      </c>
      <c r="C26" s="65" t="s">
        <v>23</v>
      </c>
      <c r="D26" s="72" t="s">
        <v>82</v>
      </c>
      <c r="E26" s="65" t="s">
        <v>25</v>
      </c>
      <c r="F26" s="65">
        <v>4453.5200000000004</v>
      </c>
      <c r="G26" s="385" t="s">
        <v>1983</v>
      </c>
      <c r="H26" s="385"/>
      <c r="I26" s="385"/>
      <c r="J26" s="68"/>
      <c r="K26" s="69"/>
      <c r="L26" s="68"/>
      <c r="M26" s="20">
        <v>152</v>
      </c>
      <c r="N26" s="68"/>
      <c r="O26" s="68"/>
      <c r="P26" s="70" t="s">
        <v>1972</v>
      </c>
      <c r="Q26" s="68">
        <f>F26</f>
        <v>4453.5200000000004</v>
      </c>
      <c r="R26" s="69" t="s">
        <v>2505</v>
      </c>
      <c r="S26" s="71">
        <f>F26+J26-K26+M26</f>
        <v>4605.5200000000004</v>
      </c>
    </row>
    <row r="27" spans="1:21" customFormat="1" ht="25.5">
      <c r="A27" s="64" t="s">
        <v>83</v>
      </c>
      <c r="B27" s="65" t="s">
        <v>84</v>
      </c>
      <c r="C27" s="65" t="s">
        <v>23</v>
      </c>
      <c r="D27" s="72" t="s">
        <v>85</v>
      </c>
      <c r="E27" s="65" t="s">
        <v>25</v>
      </c>
      <c r="F27" s="65">
        <v>1108.8599999999999</v>
      </c>
      <c r="G27" s="387"/>
      <c r="H27" s="387"/>
      <c r="I27" s="387"/>
      <c r="J27" s="68">
        <v>33.130000000000102</v>
      </c>
      <c r="K27" s="69"/>
      <c r="L27" s="68"/>
      <c r="M27" s="20"/>
      <c r="N27" s="68"/>
      <c r="O27" s="68"/>
      <c r="P27" s="70"/>
      <c r="Q27" s="68"/>
      <c r="R27" s="70"/>
      <c r="S27" s="71"/>
      <c r="U27" t="s">
        <v>1986</v>
      </c>
    </row>
    <row r="28" spans="1:21" customFormat="1" ht="35.1" customHeight="1">
      <c r="A28" s="60" t="s">
        <v>86</v>
      </c>
      <c r="B28" s="21"/>
      <c r="C28" s="21"/>
      <c r="D28" s="61" t="s">
        <v>87</v>
      </c>
      <c r="E28" s="21"/>
      <c r="F28" s="21"/>
      <c r="G28" s="385" t="s">
        <v>1987</v>
      </c>
      <c r="H28" s="385"/>
      <c r="I28" s="385"/>
      <c r="J28" s="21"/>
      <c r="K28" s="21"/>
      <c r="L28" s="21"/>
      <c r="M28" s="12"/>
      <c r="N28" s="21"/>
      <c r="O28" s="21"/>
      <c r="P28" s="21"/>
      <c r="Q28" s="21"/>
      <c r="R28" s="21"/>
      <c r="S28" s="63"/>
    </row>
    <row r="29" spans="1:21" customFormat="1" ht="23.85" customHeight="1">
      <c r="A29" s="64" t="s">
        <v>88</v>
      </c>
      <c r="B29" s="65" t="s">
        <v>1988</v>
      </c>
      <c r="C29" s="65" t="s">
        <v>23</v>
      </c>
      <c r="D29" s="72" t="s">
        <v>89</v>
      </c>
      <c r="E29" s="65" t="s">
        <v>25</v>
      </c>
      <c r="F29" s="65">
        <v>5501.28</v>
      </c>
      <c r="G29" s="385" t="s">
        <v>1989</v>
      </c>
      <c r="H29" s="385"/>
      <c r="I29" s="385"/>
      <c r="J29" s="68"/>
      <c r="K29" s="69"/>
      <c r="L29" s="68"/>
      <c r="M29" s="20">
        <v>3553.14</v>
      </c>
      <c r="N29" s="68"/>
      <c r="O29" s="68"/>
      <c r="P29" s="70" t="s">
        <v>1972</v>
      </c>
      <c r="Q29" s="68">
        <f>F29</f>
        <v>5501.28</v>
      </c>
      <c r="R29" s="70" t="s">
        <v>2476</v>
      </c>
      <c r="S29" s="71">
        <f>F29+J29-K29+M29</f>
        <v>9054.42</v>
      </c>
    </row>
    <row r="30" spans="1:21" customFormat="1" ht="25.5">
      <c r="A30" s="64" t="s">
        <v>90</v>
      </c>
      <c r="B30" s="65" t="s">
        <v>1990</v>
      </c>
      <c r="C30" s="65" t="s">
        <v>23</v>
      </c>
      <c r="D30" s="72" t="s">
        <v>91</v>
      </c>
      <c r="E30" s="65" t="s">
        <v>48</v>
      </c>
      <c r="F30" s="65">
        <v>5</v>
      </c>
      <c r="G30" s="387"/>
      <c r="H30" s="387"/>
      <c r="I30" s="387"/>
      <c r="J30" s="68"/>
      <c r="K30" s="69"/>
      <c r="L30" s="68"/>
      <c r="M30" s="20">
        <v>20</v>
      </c>
      <c r="N30" s="68"/>
      <c r="O30" s="68"/>
      <c r="P30" s="70" t="s">
        <v>1972</v>
      </c>
      <c r="Q30" s="68">
        <f>F30</f>
        <v>5</v>
      </c>
      <c r="R30" s="69" t="s">
        <v>1991</v>
      </c>
      <c r="S30" s="71">
        <f>F30+J30-K30+M30</f>
        <v>25</v>
      </c>
    </row>
    <row r="31" spans="1:21" customFormat="1" ht="35.1" customHeight="1">
      <c r="A31" s="60" t="s">
        <v>92</v>
      </c>
      <c r="B31" s="21"/>
      <c r="C31" s="21"/>
      <c r="D31" s="61" t="s">
        <v>93</v>
      </c>
      <c r="E31" s="21"/>
      <c r="F31" s="21"/>
      <c r="G31" s="385" t="s">
        <v>1992</v>
      </c>
      <c r="H31" s="385"/>
      <c r="I31" s="385"/>
      <c r="J31" s="21"/>
      <c r="K31" s="21"/>
      <c r="L31" s="21"/>
      <c r="M31" s="21"/>
      <c r="N31" s="21"/>
      <c r="O31" s="21"/>
      <c r="P31" s="21"/>
      <c r="Q31" s="21"/>
      <c r="R31" s="21"/>
      <c r="S31" s="63"/>
    </row>
    <row r="32" spans="1:21" customFormat="1" ht="35.1" customHeight="1">
      <c r="A32" s="60" t="s">
        <v>1993</v>
      </c>
      <c r="B32" s="21"/>
      <c r="C32" s="21"/>
      <c r="D32" s="61" t="s">
        <v>94</v>
      </c>
      <c r="E32" s="21"/>
      <c r="F32" s="21"/>
      <c r="G32" s="385" t="s">
        <v>1994</v>
      </c>
      <c r="H32" s="385"/>
      <c r="I32" s="385"/>
      <c r="J32" s="21"/>
      <c r="K32" s="21"/>
      <c r="L32" s="21"/>
      <c r="M32" s="21"/>
      <c r="N32" s="21"/>
      <c r="O32" s="21"/>
      <c r="P32" s="21"/>
      <c r="Q32" s="21"/>
      <c r="R32" s="21"/>
      <c r="S32" s="63"/>
    </row>
    <row r="33" spans="1:19" customFormat="1" ht="35.1" customHeight="1">
      <c r="A33" s="60" t="s">
        <v>95</v>
      </c>
      <c r="B33" s="21"/>
      <c r="C33" s="21"/>
      <c r="D33" s="61" t="s">
        <v>96</v>
      </c>
      <c r="E33" s="21"/>
      <c r="F33" s="21"/>
      <c r="G33" s="385" t="s">
        <v>1994</v>
      </c>
      <c r="H33" s="385"/>
      <c r="I33" s="385"/>
      <c r="J33" s="21"/>
      <c r="K33" s="21"/>
      <c r="L33" s="21"/>
      <c r="M33" s="12"/>
      <c r="N33" s="21"/>
      <c r="O33" s="21"/>
      <c r="P33" s="21"/>
      <c r="Q33" s="21"/>
      <c r="R33" s="21"/>
      <c r="S33" s="63"/>
    </row>
    <row r="34" spans="1:19" customFormat="1" ht="35.1" customHeight="1">
      <c r="A34" s="64" t="s">
        <v>97</v>
      </c>
      <c r="B34" s="65" t="s">
        <v>1995</v>
      </c>
      <c r="C34" s="65" t="s">
        <v>23</v>
      </c>
      <c r="D34" s="72" t="s">
        <v>98</v>
      </c>
      <c r="E34" s="65" t="s">
        <v>25</v>
      </c>
      <c r="F34" s="65">
        <v>2</v>
      </c>
      <c r="G34" s="385" t="s">
        <v>1994</v>
      </c>
      <c r="H34" s="385"/>
      <c r="I34" s="385"/>
      <c r="J34" s="68">
        <v>14</v>
      </c>
      <c r="K34" s="69"/>
      <c r="L34" s="68"/>
      <c r="M34" s="20"/>
      <c r="N34" s="68"/>
      <c r="O34" s="68"/>
      <c r="P34" s="76" t="s">
        <v>1996</v>
      </c>
      <c r="Q34" s="68">
        <v>2</v>
      </c>
      <c r="R34" s="70" t="s">
        <v>1997</v>
      </c>
      <c r="S34" s="71">
        <f>2+14</f>
        <v>16</v>
      </c>
    </row>
    <row r="35" spans="1:19" customFormat="1" ht="38.25">
      <c r="A35" s="64" t="s">
        <v>99</v>
      </c>
      <c r="B35" s="65" t="s">
        <v>1998</v>
      </c>
      <c r="C35" s="65" t="s">
        <v>23</v>
      </c>
      <c r="D35" s="72" t="s">
        <v>100</v>
      </c>
      <c r="E35" s="65" t="s">
        <v>25</v>
      </c>
      <c r="F35" s="65">
        <v>900</v>
      </c>
      <c r="G35" s="387"/>
      <c r="H35" s="387"/>
      <c r="I35" s="387"/>
      <c r="J35" s="68"/>
      <c r="K35" s="69"/>
      <c r="L35" s="68"/>
      <c r="M35" s="20"/>
      <c r="N35" s="68"/>
      <c r="O35" s="68"/>
      <c r="P35" s="70"/>
      <c r="Q35" s="68"/>
      <c r="R35" s="70"/>
      <c r="S35" s="71"/>
    </row>
    <row r="36" spans="1:19" customFormat="1" ht="35.1" customHeight="1">
      <c r="A36" s="64" t="s">
        <v>101</v>
      </c>
      <c r="B36" s="65" t="s">
        <v>1999</v>
      </c>
      <c r="C36" s="65" t="s">
        <v>23</v>
      </c>
      <c r="D36" s="72" t="s">
        <v>102</v>
      </c>
      <c r="E36" s="65" t="s">
        <v>48</v>
      </c>
      <c r="F36" s="65">
        <v>1</v>
      </c>
      <c r="G36" s="385" t="s">
        <v>2000</v>
      </c>
      <c r="H36" s="385"/>
      <c r="I36" s="385"/>
      <c r="J36" s="68"/>
      <c r="K36" s="69"/>
      <c r="L36" s="68"/>
      <c r="M36" s="20"/>
      <c r="N36" s="68"/>
      <c r="O36" s="68"/>
      <c r="P36" s="70"/>
      <c r="Q36" s="68"/>
      <c r="R36" s="70"/>
      <c r="S36" s="71"/>
    </row>
    <row r="37" spans="1:19" customFormat="1" ht="35.1" customHeight="1">
      <c r="A37" s="64" t="s">
        <v>103</v>
      </c>
      <c r="B37" s="65" t="s">
        <v>2001</v>
      </c>
      <c r="C37" s="65" t="s">
        <v>23</v>
      </c>
      <c r="D37" s="72" t="s">
        <v>104</v>
      </c>
      <c r="E37" s="65" t="s">
        <v>25</v>
      </c>
      <c r="F37" s="65">
        <v>900</v>
      </c>
      <c r="G37" s="385" t="s">
        <v>2002</v>
      </c>
      <c r="H37" s="385"/>
      <c r="I37" s="385"/>
      <c r="J37" s="68"/>
      <c r="K37" s="69"/>
      <c r="L37" s="68"/>
      <c r="M37" s="20"/>
      <c r="N37" s="68"/>
      <c r="O37" s="68"/>
      <c r="P37" s="70"/>
      <c r="Q37" s="68"/>
      <c r="R37" s="70"/>
      <c r="S37" s="71"/>
    </row>
    <row r="38" spans="1:19" customFormat="1" ht="46.15" customHeight="1">
      <c r="A38" s="64" t="s">
        <v>105</v>
      </c>
      <c r="B38" s="65" t="s">
        <v>2003</v>
      </c>
      <c r="C38" s="65" t="s">
        <v>23</v>
      </c>
      <c r="D38" s="72" t="s">
        <v>106</v>
      </c>
      <c r="E38" s="65" t="s">
        <v>107</v>
      </c>
      <c r="F38" s="65">
        <v>80</v>
      </c>
      <c r="G38" s="385" t="s">
        <v>2004</v>
      </c>
      <c r="H38" s="385"/>
      <c r="I38" s="385"/>
      <c r="J38" s="68"/>
      <c r="K38" s="69"/>
      <c r="L38" s="68"/>
      <c r="M38" s="20"/>
      <c r="N38" s="68"/>
      <c r="O38" s="68"/>
      <c r="P38" s="70"/>
      <c r="Q38" s="68"/>
      <c r="R38" s="70"/>
      <c r="S38" s="71"/>
    </row>
    <row r="39" spans="1:19" customFormat="1" ht="46.15" customHeight="1">
      <c r="A39" s="64" t="s">
        <v>108</v>
      </c>
      <c r="B39" s="65" t="s">
        <v>2005</v>
      </c>
      <c r="C39" s="65" t="s">
        <v>23</v>
      </c>
      <c r="D39" s="72" t="s">
        <v>109</v>
      </c>
      <c r="E39" s="65" t="s">
        <v>110</v>
      </c>
      <c r="F39" s="65">
        <v>24</v>
      </c>
      <c r="G39" s="385" t="s">
        <v>2006</v>
      </c>
      <c r="H39" s="385"/>
      <c r="I39" s="385"/>
      <c r="J39" s="68"/>
      <c r="K39" s="69"/>
      <c r="L39" s="68"/>
      <c r="M39" s="20"/>
      <c r="N39" s="68"/>
      <c r="O39" s="68"/>
      <c r="P39" s="70"/>
      <c r="Q39" s="68"/>
      <c r="R39" s="70"/>
      <c r="S39" s="71"/>
    </row>
    <row r="40" spans="1:19" customFormat="1" ht="46.15" customHeight="1">
      <c r="A40" s="60" t="s">
        <v>111</v>
      </c>
      <c r="B40" s="21"/>
      <c r="C40" s="21"/>
      <c r="D40" s="61" t="s">
        <v>112</v>
      </c>
      <c r="E40" s="21"/>
      <c r="F40" s="21"/>
      <c r="G40" s="385" t="s">
        <v>2007</v>
      </c>
      <c r="H40" s="385"/>
      <c r="I40" s="385"/>
      <c r="J40" s="21"/>
      <c r="K40" s="21"/>
      <c r="L40" s="21"/>
      <c r="M40" s="12"/>
      <c r="N40" s="21"/>
      <c r="O40" s="21"/>
      <c r="P40" s="21"/>
      <c r="Q40" s="21"/>
      <c r="R40" s="21"/>
      <c r="S40" s="63"/>
    </row>
    <row r="41" spans="1:19" customFormat="1" ht="46.15" customHeight="1">
      <c r="A41" s="64" t="s">
        <v>113</v>
      </c>
      <c r="B41" s="65" t="s">
        <v>2008</v>
      </c>
      <c r="C41" s="65" t="s">
        <v>23</v>
      </c>
      <c r="D41" s="72" t="s">
        <v>114</v>
      </c>
      <c r="E41" s="65" t="s">
        <v>25</v>
      </c>
      <c r="F41" s="65">
        <v>14.5</v>
      </c>
      <c r="G41" s="385" t="s">
        <v>2009</v>
      </c>
      <c r="H41" s="385"/>
      <c r="I41" s="385"/>
      <c r="J41" s="68"/>
      <c r="K41" s="69"/>
      <c r="L41" s="68"/>
      <c r="M41" s="20"/>
      <c r="N41" s="68"/>
      <c r="O41" s="68"/>
      <c r="P41" s="70"/>
      <c r="Q41" s="68"/>
      <c r="R41" s="70"/>
      <c r="S41" s="71"/>
    </row>
    <row r="42" spans="1:19" customFormat="1" ht="51">
      <c r="A42" s="64" t="s">
        <v>115</v>
      </c>
      <c r="B42" s="65" t="s">
        <v>2010</v>
      </c>
      <c r="C42" s="65" t="s">
        <v>23</v>
      </c>
      <c r="D42" s="72" t="s">
        <v>116</v>
      </c>
      <c r="E42" s="65" t="s">
        <v>25</v>
      </c>
      <c r="F42" s="65">
        <v>10.9</v>
      </c>
      <c r="G42" s="387"/>
      <c r="H42" s="387"/>
      <c r="I42" s="387"/>
      <c r="J42" s="68"/>
      <c r="K42" s="69"/>
      <c r="L42" s="68"/>
      <c r="M42" s="20"/>
      <c r="N42" s="68"/>
      <c r="O42" s="68"/>
      <c r="P42" s="70"/>
      <c r="Q42" s="68"/>
      <c r="R42" s="70"/>
      <c r="S42" s="71"/>
    </row>
    <row r="43" spans="1:19" customFormat="1" ht="46.15" customHeight="1">
      <c r="A43" s="64" t="s">
        <v>117</v>
      </c>
      <c r="B43" s="65" t="s">
        <v>2011</v>
      </c>
      <c r="C43" s="65" t="s">
        <v>23</v>
      </c>
      <c r="D43" s="72" t="s">
        <v>118</v>
      </c>
      <c r="E43" s="65" t="s">
        <v>25</v>
      </c>
      <c r="F43" s="65">
        <v>10.9</v>
      </c>
      <c r="G43" s="385" t="s">
        <v>2012</v>
      </c>
      <c r="H43" s="385"/>
      <c r="I43" s="385"/>
      <c r="J43" s="68"/>
      <c r="K43" s="69"/>
      <c r="L43" s="68"/>
      <c r="M43" s="20"/>
      <c r="N43" s="68"/>
      <c r="O43" s="68"/>
      <c r="P43" s="70"/>
      <c r="Q43" s="68"/>
      <c r="R43" s="70"/>
      <c r="S43" s="71"/>
    </row>
    <row r="44" spans="1:19" customFormat="1" ht="46.15" customHeight="1">
      <c r="A44" s="64" t="s">
        <v>119</v>
      </c>
      <c r="B44" s="65" t="s">
        <v>2013</v>
      </c>
      <c r="C44" s="65" t="s">
        <v>23</v>
      </c>
      <c r="D44" s="72" t="s">
        <v>120</v>
      </c>
      <c r="E44" s="65" t="s">
        <v>25</v>
      </c>
      <c r="F44" s="65">
        <v>24.2</v>
      </c>
      <c r="G44" s="385" t="s">
        <v>2014</v>
      </c>
      <c r="H44" s="385"/>
      <c r="I44" s="385"/>
      <c r="J44" s="68"/>
      <c r="K44" s="69"/>
      <c r="L44" s="68"/>
      <c r="M44" s="20"/>
      <c r="N44" s="68"/>
      <c r="O44" s="68"/>
      <c r="P44" s="70"/>
      <c r="Q44" s="68"/>
      <c r="R44" s="70"/>
      <c r="S44" s="71"/>
    </row>
    <row r="45" spans="1:19" customFormat="1" ht="46.15" customHeight="1">
      <c r="A45" s="64" t="s">
        <v>121</v>
      </c>
      <c r="B45" s="65" t="s">
        <v>2015</v>
      </c>
      <c r="C45" s="65" t="s">
        <v>23</v>
      </c>
      <c r="D45" s="72" t="s">
        <v>122</v>
      </c>
      <c r="E45" s="65" t="s">
        <v>25</v>
      </c>
      <c r="F45" s="65">
        <v>12</v>
      </c>
      <c r="G45" s="385" t="s">
        <v>2012</v>
      </c>
      <c r="H45" s="385"/>
      <c r="I45" s="385"/>
      <c r="J45" s="68"/>
      <c r="K45" s="69"/>
      <c r="L45" s="68"/>
      <c r="M45" s="20"/>
      <c r="N45" s="68"/>
      <c r="O45" s="68"/>
      <c r="P45" s="70"/>
      <c r="Q45" s="68"/>
      <c r="R45" s="70"/>
      <c r="S45" s="71"/>
    </row>
    <row r="46" spans="1:19" customFormat="1" ht="63.75">
      <c r="A46" s="64" t="s">
        <v>123</v>
      </c>
      <c r="B46" s="65" t="s">
        <v>2016</v>
      </c>
      <c r="C46" s="65" t="s">
        <v>23</v>
      </c>
      <c r="D46" s="72" t="s">
        <v>124</v>
      </c>
      <c r="E46" s="65" t="s">
        <v>25</v>
      </c>
      <c r="F46" s="65">
        <v>6</v>
      </c>
      <c r="G46" s="387"/>
      <c r="H46" s="387"/>
      <c r="I46" s="387"/>
      <c r="J46" s="68"/>
      <c r="K46" s="69"/>
      <c r="L46" s="68"/>
      <c r="M46" s="20"/>
      <c r="N46" s="68"/>
      <c r="O46" s="68"/>
      <c r="P46" s="70"/>
      <c r="Q46" s="68"/>
      <c r="R46" s="70"/>
      <c r="S46" s="71"/>
    </row>
    <row r="47" spans="1:19" customFormat="1" ht="46.15" customHeight="1">
      <c r="A47" s="60" t="s">
        <v>125</v>
      </c>
      <c r="B47" s="21"/>
      <c r="C47" s="21"/>
      <c r="D47" s="61" t="s">
        <v>126</v>
      </c>
      <c r="E47" s="21"/>
      <c r="F47" s="21"/>
      <c r="G47" s="385" t="s">
        <v>2017</v>
      </c>
      <c r="H47" s="385"/>
      <c r="I47" s="385"/>
      <c r="J47" s="21"/>
      <c r="K47" s="21"/>
      <c r="L47" s="21"/>
      <c r="M47" s="12"/>
      <c r="N47" s="21"/>
      <c r="O47" s="21"/>
      <c r="P47" s="21"/>
      <c r="Q47" s="21"/>
      <c r="R47" s="21"/>
      <c r="S47" s="63"/>
    </row>
    <row r="48" spans="1:19" customFormat="1" ht="46.15" customHeight="1">
      <c r="A48" s="60" t="s">
        <v>2018</v>
      </c>
      <c r="B48" s="21"/>
      <c r="C48" s="21"/>
      <c r="D48" s="61" t="s">
        <v>127</v>
      </c>
      <c r="E48" s="21"/>
      <c r="F48" s="21"/>
      <c r="G48" s="385" t="s">
        <v>2017</v>
      </c>
      <c r="H48" s="385"/>
      <c r="I48" s="385"/>
      <c r="J48" s="77"/>
      <c r="K48" s="78"/>
      <c r="L48" s="77"/>
      <c r="M48" s="12"/>
      <c r="N48" s="77"/>
      <c r="O48" s="77"/>
      <c r="P48" s="79"/>
      <c r="Q48" s="77"/>
      <c r="R48" s="79"/>
      <c r="S48" s="80"/>
    </row>
    <row r="49" spans="1:21" customFormat="1" ht="35.1" customHeight="1">
      <c r="A49" s="60" t="s">
        <v>128</v>
      </c>
      <c r="B49" s="21"/>
      <c r="C49" s="21"/>
      <c r="D49" s="61" t="s">
        <v>129</v>
      </c>
      <c r="E49" s="21"/>
      <c r="F49" s="21"/>
      <c r="G49" s="385" t="s">
        <v>2019</v>
      </c>
      <c r="H49" s="385"/>
      <c r="I49" s="385"/>
      <c r="J49" s="77"/>
      <c r="K49" s="78"/>
      <c r="L49" s="77"/>
      <c r="M49" s="12"/>
      <c r="N49" s="77"/>
      <c r="O49" s="77"/>
      <c r="P49" s="79"/>
      <c r="Q49" s="77"/>
      <c r="R49" s="79"/>
      <c r="S49" s="80"/>
    </row>
    <row r="50" spans="1:21" customFormat="1" ht="46.15" customHeight="1">
      <c r="A50" s="64" t="s">
        <v>130</v>
      </c>
      <c r="B50" s="65" t="s">
        <v>2020</v>
      </c>
      <c r="C50" s="65" t="s">
        <v>23</v>
      </c>
      <c r="D50" s="72" t="s">
        <v>131</v>
      </c>
      <c r="E50" s="65" t="s">
        <v>38</v>
      </c>
      <c r="F50" s="65">
        <v>2892.61</v>
      </c>
      <c r="G50" s="385" t="s">
        <v>2009</v>
      </c>
      <c r="H50" s="385"/>
      <c r="I50" s="385"/>
      <c r="J50" s="68"/>
      <c r="K50" s="69"/>
      <c r="L50" s="68"/>
      <c r="M50" s="20">
        <f>143.53+39.1</f>
        <v>182.63</v>
      </c>
      <c r="N50" s="68"/>
      <c r="O50" s="68"/>
      <c r="P50" s="70" t="s">
        <v>1972</v>
      </c>
      <c r="Q50" s="68">
        <f>F50</f>
        <v>2892.61</v>
      </c>
      <c r="R50" s="70" t="s">
        <v>2021</v>
      </c>
      <c r="S50" s="71">
        <f>F50+J50-K50+M50</f>
        <v>3075.2400000000002</v>
      </c>
    </row>
    <row r="51" spans="1:21" customFormat="1" ht="51">
      <c r="A51" s="64" t="s">
        <v>132</v>
      </c>
      <c r="B51" s="65" t="s">
        <v>2022</v>
      </c>
      <c r="C51" s="65" t="s">
        <v>133</v>
      </c>
      <c r="D51" s="72" t="s">
        <v>134</v>
      </c>
      <c r="E51" s="65" t="s">
        <v>38</v>
      </c>
      <c r="F51" s="65">
        <v>301.32</v>
      </c>
      <c r="G51" s="387"/>
      <c r="H51" s="387"/>
      <c r="I51" s="387"/>
      <c r="J51" s="68">
        <v>42.287999999999997</v>
      </c>
      <c r="K51" s="69"/>
      <c r="L51" s="68"/>
      <c r="M51" s="20">
        <v>13.5</v>
      </c>
      <c r="N51" s="68"/>
      <c r="O51" s="68"/>
      <c r="P51" s="70" t="s">
        <v>1972</v>
      </c>
      <c r="Q51" s="68">
        <f>F51</f>
        <v>301.32</v>
      </c>
      <c r="R51" s="70" t="s">
        <v>2482</v>
      </c>
      <c r="S51" s="71">
        <f>F51+J51-K51+M51</f>
        <v>357.108</v>
      </c>
    </row>
    <row r="52" spans="1:21" customFormat="1" ht="57.4" customHeight="1">
      <c r="A52" s="64" t="s">
        <v>135</v>
      </c>
      <c r="B52" s="65" t="s">
        <v>2023</v>
      </c>
      <c r="C52" s="65" t="s">
        <v>133</v>
      </c>
      <c r="D52" s="72" t="s">
        <v>136</v>
      </c>
      <c r="E52" s="65" t="s">
        <v>38</v>
      </c>
      <c r="F52" s="65">
        <v>129.13999999999999</v>
      </c>
      <c r="G52" s="385" t="s">
        <v>2024</v>
      </c>
      <c r="H52" s="385"/>
      <c r="I52" s="385"/>
      <c r="J52" s="68"/>
      <c r="K52" s="69"/>
      <c r="L52" s="68"/>
      <c r="M52" s="20"/>
      <c r="N52" s="68"/>
      <c r="O52" s="68"/>
      <c r="P52" s="70"/>
      <c r="Q52" s="68"/>
      <c r="R52" s="69"/>
      <c r="S52" s="71"/>
    </row>
    <row r="53" spans="1:21" customFormat="1" ht="23.85" customHeight="1">
      <c r="A53" s="64" t="s">
        <v>137</v>
      </c>
      <c r="B53" s="65" t="s">
        <v>2025</v>
      </c>
      <c r="C53" s="65" t="s">
        <v>133</v>
      </c>
      <c r="D53" s="72" t="s">
        <v>138</v>
      </c>
      <c r="E53" s="65" t="s">
        <v>38</v>
      </c>
      <c r="F53" s="65">
        <v>449.29</v>
      </c>
      <c r="G53" s="385" t="s">
        <v>2026</v>
      </c>
      <c r="H53" s="385"/>
      <c r="I53" s="385"/>
      <c r="J53" s="68">
        <v>17.4549728</v>
      </c>
      <c r="K53" s="69"/>
      <c r="L53" s="68"/>
      <c r="M53" s="20">
        <v>89.88</v>
      </c>
      <c r="N53" s="68"/>
      <c r="O53" s="68"/>
      <c r="P53" s="70" t="s">
        <v>1972</v>
      </c>
      <c r="Q53" s="68">
        <f>F53</f>
        <v>449.29</v>
      </c>
      <c r="R53" s="70" t="s">
        <v>2478</v>
      </c>
      <c r="S53" s="71">
        <f>F53+J53-K53+M53</f>
        <v>556.62497280000002</v>
      </c>
    </row>
    <row r="54" spans="1:21" customFormat="1" ht="46.15" customHeight="1">
      <c r="A54" s="60" t="s">
        <v>139</v>
      </c>
      <c r="B54" s="21"/>
      <c r="C54" s="21"/>
      <c r="D54" s="61" t="s">
        <v>140</v>
      </c>
      <c r="E54" s="21"/>
      <c r="F54" s="21"/>
      <c r="G54" s="385" t="s">
        <v>2027</v>
      </c>
      <c r="H54" s="385"/>
      <c r="I54" s="385"/>
      <c r="J54" s="77"/>
      <c r="K54" s="78"/>
      <c r="L54" s="77"/>
      <c r="M54" s="12"/>
      <c r="N54" s="77"/>
      <c r="O54" s="77"/>
      <c r="P54" s="79"/>
      <c r="Q54" s="77"/>
      <c r="R54" s="79"/>
      <c r="S54" s="80"/>
    </row>
    <row r="55" spans="1:21" customFormat="1" ht="46.15" customHeight="1">
      <c r="A55" s="64" t="s">
        <v>141</v>
      </c>
      <c r="B55" s="65" t="s">
        <v>2028</v>
      </c>
      <c r="C55" s="65" t="s">
        <v>23</v>
      </c>
      <c r="D55" s="72" t="s">
        <v>142</v>
      </c>
      <c r="E55" s="65" t="s">
        <v>38</v>
      </c>
      <c r="F55" s="65">
        <v>1648.99</v>
      </c>
      <c r="G55" s="385" t="s">
        <v>2029</v>
      </c>
      <c r="H55" s="385"/>
      <c r="I55" s="385"/>
      <c r="J55" s="68"/>
      <c r="K55" s="69"/>
      <c r="L55" s="68"/>
      <c r="M55" s="20">
        <v>246.65100000000001</v>
      </c>
      <c r="N55" s="68"/>
      <c r="O55" s="68"/>
      <c r="P55" s="70" t="s">
        <v>1972</v>
      </c>
      <c r="Q55" s="68">
        <f>F55</f>
        <v>1648.99</v>
      </c>
      <c r="R55" s="70" t="s">
        <v>2479</v>
      </c>
      <c r="S55" s="71">
        <f>F55+J55-K55+M55</f>
        <v>1895.6410000000001</v>
      </c>
    </row>
    <row r="56" spans="1:21" customFormat="1" ht="46.15" customHeight="1">
      <c r="A56" s="60" t="s">
        <v>143</v>
      </c>
      <c r="B56" s="21"/>
      <c r="C56" s="21"/>
      <c r="D56" s="61" t="s">
        <v>144</v>
      </c>
      <c r="E56" s="21"/>
      <c r="F56" s="21"/>
      <c r="G56" s="385" t="s">
        <v>2029</v>
      </c>
      <c r="H56" s="385"/>
      <c r="I56" s="385"/>
      <c r="J56" s="77"/>
      <c r="K56" s="78"/>
      <c r="L56" s="77"/>
      <c r="M56" s="12"/>
      <c r="N56" s="77"/>
      <c r="O56" s="77"/>
      <c r="P56" s="79"/>
      <c r="Q56" s="77"/>
      <c r="R56" s="79"/>
      <c r="S56" s="80"/>
    </row>
    <row r="57" spans="1:21" customFormat="1" ht="46.15" customHeight="1">
      <c r="A57" s="64" t="s">
        <v>145</v>
      </c>
      <c r="B57" s="65" t="s">
        <v>2030</v>
      </c>
      <c r="C57" s="65" t="s">
        <v>23</v>
      </c>
      <c r="D57" s="72" t="s">
        <v>146</v>
      </c>
      <c r="E57" s="65" t="s">
        <v>38</v>
      </c>
      <c r="F57" s="65">
        <v>300</v>
      </c>
      <c r="G57" s="385" t="s">
        <v>2029</v>
      </c>
      <c r="H57" s="385"/>
      <c r="I57" s="385"/>
      <c r="J57" s="68">
        <v>2695.33</v>
      </c>
      <c r="K57" s="69"/>
      <c r="L57" s="68"/>
      <c r="M57" s="20">
        <v>1365.22</v>
      </c>
      <c r="N57" s="68"/>
      <c r="O57" s="68"/>
      <c r="P57" s="70" t="s">
        <v>1972</v>
      </c>
      <c r="Q57" s="68">
        <f>F57</f>
        <v>300</v>
      </c>
      <c r="R57" s="70" t="s">
        <v>2506</v>
      </c>
      <c r="S57" s="71">
        <f>F57+J57-K57+M57</f>
        <v>4360.55</v>
      </c>
      <c r="U57" t="s">
        <v>2031</v>
      </c>
    </row>
    <row r="58" spans="1:21" customFormat="1" ht="46.15" customHeight="1">
      <c r="A58" s="60" t="s">
        <v>2032</v>
      </c>
      <c r="B58" s="21"/>
      <c r="C58" s="21"/>
      <c r="D58" s="61" t="s">
        <v>147</v>
      </c>
      <c r="E58" s="21"/>
      <c r="F58" s="21"/>
      <c r="G58" s="385" t="s">
        <v>2033</v>
      </c>
      <c r="H58" s="385"/>
      <c r="I58" s="385"/>
      <c r="J58" s="77"/>
      <c r="K58" s="78"/>
      <c r="L58" s="77"/>
      <c r="M58" s="12"/>
      <c r="N58" s="77"/>
      <c r="O58" s="77"/>
      <c r="P58" s="79"/>
      <c r="Q58" s="77"/>
      <c r="R58" s="79"/>
      <c r="S58" s="80"/>
    </row>
    <row r="59" spans="1:21" customFormat="1" ht="46.15" customHeight="1">
      <c r="A59" s="60" t="s">
        <v>148</v>
      </c>
      <c r="B59" s="21"/>
      <c r="C59" s="21"/>
      <c r="D59" s="61" t="s">
        <v>149</v>
      </c>
      <c r="E59" s="21"/>
      <c r="F59" s="21"/>
      <c r="G59" s="385" t="s">
        <v>2034</v>
      </c>
      <c r="H59" s="385"/>
      <c r="I59" s="385"/>
      <c r="J59" s="77"/>
      <c r="K59" s="78"/>
      <c r="L59" s="77"/>
      <c r="M59" s="12"/>
      <c r="N59" s="77"/>
      <c r="O59" s="77"/>
      <c r="P59" s="79"/>
      <c r="Q59" s="77"/>
      <c r="R59" s="79"/>
      <c r="S59" s="80"/>
    </row>
    <row r="60" spans="1:21" customFormat="1" ht="35.1" customHeight="1">
      <c r="A60" s="64" t="s">
        <v>150</v>
      </c>
      <c r="B60" s="65" t="s">
        <v>2035</v>
      </c>
      <c r="C60" s="65" t="s">
        <v>133</v>
      </c>
      <c r="D60" s="72" t="s">
        <v>151</v>
      </c>
      <c r="E60" s="65" t="s">
        <v>38</v>
      </c>
      <c r="F60" s="65">
        <v>3.95</v>
      </c>
      <c r="G60" s="385" t="s">
        <v>2036</v>
      </c>
      <c r="H60" s="385"/>
      <c r="I60" s="385"/>
      <c r="J60" s="68">
        <v>1.3080642</v>
      </c>
      <c r="K60" s="69"/>
      <c r="L60" s="68"/>
      <c r="M60" s="20"/>
      <c r="N60" s="68"/>
      <c r="O60" s="68"/>
      <c r="P60" s="70" t="s">
        <v>1972</v>
      </c>
      <c r="Q60" s="68">
        <f>F60</f>
        <v>3.95</v>
      </c>
      <c r="R60" s="70" t="s">
        <v>2037</v>
      </c>
      <c r="S60" s="71">
        <f>F60+J60-K60+M60</f>
        <v>5.2580641999999997</v>
      </c>
    </row>
    <row r="61" spans="1:21" customFormat="1" ht="35.1" customHeight="1">
      <c r="A61" s="64" t="s">
        <v>152</v>
      </c>
      <c r="B61" s="65" t="s">
        <v>2038</v>
      </c>
      <c r="C61" s="65" t="s">
        <v>133</v>
      </c>
      <c r="D61" s="72" t="s">
        <v>153</v>
      </c>
      <c r="E61" s="65" t="s">
        <v>25</v>
      </c>
      <c r="F61" s="65">
        <v>369.3</v>
      </c>
      <c r="G61" s="385" t="s">
        <v>2039</v>
      </c>
      <c r="H61" s="385"/>
      <c r="I61" s="385"/>
      <c r="J61" s="68">
        <v>47.332000000000001</v>
      </c>
      <c r="K61" s="69"/>
      <c r="L61" s="68"/>
      <c r="M61" s="20">
        <v>36</v>
      </c>
      <c r="N61" s="68"/>
      <c r="O61" s="68"/>
      <c r="P61" s="70" t="s">
        <v>1972</v>
      </c>
      <c r="Q61" s="68">
        <f>F61</f>
        <v>369.3</v>
      </c>
      <c r="R61" s="70" t="s">
        <v>2483</v>
      </c>
      <c r="S61" s="71">
        <f>F61+J61-K61+M61</f>
        <v>452.63200000000001</v>
      </c>
    </row>
    <row r="62" spans="1:21" customFormat="1" ht="38.25">
      <c r="A62" s="64" t="s">
        <v>154</v>
      </c>
      <c r="B62" s="65" t="s">
        <v>2040</v>
      </c>
      <c r="C62" s="65" t="s">
        <v>133</v>
      </c>
      <c r="D62" s="72" t="s">
        <v>155</v>
      </c>
      <c r="E62" s="65" t="s">
        <v>38</v>
      </c>
      <c r="F62" s="65">
        <v>133.9</v>
      </c>
      <c r="G62" s="387"/>
      <c r="H62" s="387"/>
      <c r="I62" s="387"/>
      <c r="J62" s="68">
        <v>17.060963000000001</v>
      </c>
      <c r="K62" s="69"/>
      <c r="L62" s="68"/>
      <c r="M62" s="20">
        <v>13.5</v>
      </c>
      <c r="N62" s="68"/>
      <c r="O62" s="68"/>
      <c r="P62" s="70" t="s">
        <v>1972</v>
      </c>
      <c r="Q62" s="68">
        <f>F62</f>
        <v>133.9</v>
      </c>
      <c r="R62" s="70" t="s">
        <v>2484</v>
      </c>
      <c r="S62" s="71">
        <f>F62+J62-K62+M62</f>
        <v>164.46096299999999</v>
      </c>
    </row>
    <row r="63" spans="1:21" customFormat="1" ht="35.1" customHeight="1">
      <c r="A63" s="64" t="s">
        <v>156</v>
      </c>
      <c r="B63" s="65" t="s">
        <v>2041</v>
      </c>
      <c r="C63" s="65" t="s">
        <v>133</v>
      </c>
      <c r="D63" s="72" t="s">
        <v>157</v>
      </c>
      <c r="E63" s="65" t="s">
        <v>38</v>
      </c>
      <c r="F63" s="65">
        <v>8</v>
      </c>
      <c r="G63" s="385" t="s">
        <v>2042</v>
      </c>
      <c r="H63" s="385"/>
      <c r="I63" s="385"/>
      <c r="J63" s="68">
        <v>156.22999999999999</v>
      </c>
      <c r="K63" s="69"/>
      <c r="L63" s="68"/>
      <c r="M63" s="20">
        <v>91.59</v>
      </c>
      <c r="N63" s="68"/>
      <c r="O63" s="68"/>
      <c r="P63" s="76" t="s">
        <v>1996</v>
      </c>
      <c r="Q63" s="68">
        <v>8</v>
      </c>
      <c r="R63" s="70" t="s">
        <v>2507</v>
      </c>
      <c r="S63" s="71">
        <f>8+156.23</f>
        <v>164.23</v>
      </c>
      <c r="U63" s="75" t="s">
        <v>2043</v>
      </c>
    </row>
    <row r="64" spans="1:21" customFormat="1" ht="35.1" customHeight="1">
      <c r="A64" s="64" t="s">
        <v>158</v>
      </c>
      <c r="B64" s="65" t="s">
        <v>2044</v>
      </c>
      <c r="C64" s="65" t="s">
        <v>133</v>
      </c>
      <c r="D64" s="72" t="s">
        <v>159</v>
      </c>
      <c r="E64" s="65" t="s">
        <v>160</v>
      </c>
      <c r="F64" s="65">
        <v>2075</v>
      </c>
      <c r="G64" s="385" t="s">
        <v>2045</v>
      </c>
      <c r="H64" s="385"/>
      <c r="I64" s="385"/>
      <c r="J64" s="68"/>
      <c r="K64" s="69"/>
      <c r="L64" s="68"/>
      <c r="M64" s="20"/>
      <c r="N64" s="68"/>
      <c r="O64" s="68"/>
      <c r="P64" s="70"/>
      <c r="Q64" s="68"/>
      <c r="R64" s="70"/>
      <c r="S64" s="71"/>
    </row>
    <row r="65" spans="1:24" customFormat="1" ht="35.1" customHeight="1">
      <c r="A65" s="64" t="s">
        <v>161</v>
      </c>
      <c r="B65" s="65" t="s">
        <v>2046</v>
      </c>
      <c r="C65" s="65" t="s">
        <v>133</v>
      </c>
      <c r="D65" s="72" t="s">
        <v>162</v>
      </c>
      <c r="E65" s="65" t="s">
        <v>160</v>
      </c>
      <c r="F65" s="65">
        <v>1139</v>
      </c>
      <c r="G65" s="385" t="s">
        <v>2047</v>
      </c>
      <c r="H65" s="385"/>
      <c r="I65" s="385"/>
      <c r="J65" s="68">
        <v>188.16</v>
      </c>
      <c r="K65" s="69"/>
      <c r="L65" s="68"/>
      <c r="M65" s="20"/>
      <c r="N65" s="68"/>
      <c r="O65" s="68"/>
      <c r="P65" s="76" t="s">
        <v>1996</v>
      </c>
      <c r="Q65" s="68">
        <v>1139</v>
      </c>
      <c r="R65" s="70" t="s">
        <v>2048</v>
      </c>
      <c r="S65" s="71">
        <f>1139+(103+34.6)+((8+8)*8)*0.395</f>
        <v>1327.1599999999999</v>
      </c>
      <c r="U65" s="388" t="s">
        <v>2049</v>
      </c>
      <c r="V65" s="388"/>
      <c r="W65" s="388"/>
      <c r="X65" s="388"/>
    </row>
    <row r="66" spans="1:24" customFormat="1" ht="35.1" customHeight="1">
      <c r="A66" s="64" t="s">
        <v>163</v>
      </c>
      <c r="B66" s="65" t="s">
        <v>2050</v>
      </c>
      <c r="C66" s="65" t="s">
        <v>133</v>
      </c>
      <c r="D66" s="72" t="s">
        <v>164</v>
      </c>
      <c r="E66" s="65" t="s">
        <v>160</v>
      </c>
      <c r="F66" s="65">
        <v>3747</v>
      </c>
      <c r="G66" s="385" t="s">
        <v>2047</v>
      </c>
      <c r="H66" s="385"/>
      <c r="I66" s="385"/>
      <c r="J66" s="68">
        <v>391.4</v>
      </c>
      <c r="K66" s="69"/>
      <c r="L66" s="68"/>
      <c r="M66" s="20">
        <v>352.5</v>
      </c>
      <c r="N66" s="68"/>
      <c r="O66" s="68"/>
      <c r="P66" s="70" t="s">
        <v>1972</v>
      </c>
      <c r="Q66" s="68">
        <f>F66</f>
        <v>3747</v>
      </c>
      <c r="R66" s="70" t="s">
        <v>2485</v>
      </c>
      <c r="S66" s="71">
        <f>F66+J66-K66+M66</f>
        <v>4490.8999999999996</v>
      </c>
      <c r="U66" s="388"/>
      <c r="V66" s="388"/>
      <c r="W66" s="388"/>
      <c r="X66" s="388"/>
    </row>
    <row r="67" spans="1:24" customFormat="1" ht="35.1" customHeight="1">
      <c r="A67" s="64" t="s">
        <v>165</v>
      </c>
      <c r="B67" s="65" t="s">
        <v>2051</v>
      </c>
      <c r="C67" s="65" t="s">
        <v>133</v>
      </c>
      <c r="D67" s="72" t="s">
        <v>166</v>
      </c>
      <c r="E67" s="65" t="s">
        <v>160</v>
      </c>
      <c r="F67" s="65">
        <v>2445</v>
      </c>
      <c r="G67" s="385" t="s">
        <v>2052</v>
      </c>
      <c r="H67" s="385"/>
      <c r="I67" s="385"/>
      <c r="J67" s="68">
        <v>1816.7</v>
      </c>
      <c r="K67" s="69"/>
      <c r="L67" s="68"/>
      <c r="M67" s="20"/>
      <c r="N67" s="68"/>
      <c r="O67" s="68"/>
      <c r="P67" s="76" t="s">
        <v>1996</v>
      </c>
      <c r="Q67" s="68">
        <v>2445</v>
      </c>
      <c r="R67" s="70" t="s">
        <v>2053</v>
      </c>
      <c r="S67" s="71">
        <f>2445+(218.1+1598.6)</f>
        <v>4261.7</v>
      </c>
      <c r="U67" s="388"/>
      <c r="V67" s="388"/>
      <c r="W67" s="388"/>
      <c r="X67" s="388"/>
    </row>
    <row r="68" spans="1:24" customFormat="1" ht="35.1" customHeight="1">
      <c r="A68" s="64" t="s">
        <v>167</v>
      </c>
      <c r="B68" s="65" t="s">
        <v>2054</v>
      </c>
      <c r="C68" s="65" t="s">
        <v>133</v>
      </c>
      <c r="D68" s="72" t="s">
        <v>168</v>
      </c>
      <c r="E68" s="65" t="s">
        <v>160</v>
      </c>
      <c r="F68" s="65">
        <v>152</v>
      </c>
      <c r="G68" s="385" t="s">
        <v>2055</v>
      </c>
      <c r="H68" s="385"/>
      <c r="I68" s="385"/>
      <c r="J68" s="68"/>
      <c r="K68" s="69"/>
      <c r="L68" s="68"/>
      <c r="M68" s="20"/>
      <c r="N68" s="68"/>
      <c r="O68" s="68"/>
      <c r="P68" s="70"/>
      <c r="Q68" s="68"/>
      <c r="R68" s="70"/>
      <c r="S68" s="71"/>
    </row>
    <row r="69" spans="1:24" customFormat="1" ht="35.1" customHeight="1">
      <c r="A69" s="60" t="s">
        <v>169</v>
      </c>
      <c r="B69" s="21"/>
      <c r="C69" s="21"/>
      <c r="D69" s="61" t="s">
        <v>170</v>
      </c>
      <c r="E69" s="21"/>
      <c r="F69" s="21"/>
      <c r="G69" s="385" t="s">
        <v>2056</v>
      </c>
      <c r="H69" s="385"/>
      <c r="I69" s="385"/>
      <c r="J69" s="77"/>
      <c r="K69" s="78"/>
      <c r="L69" s="77"/>
      <c r="M69" s="12"/>
      <c r="N69" s="77"/>
      <c r="O69" s="77"/>
      <c r="P69" s="79"/>
      <c r="Q69" s="77"/>
      <c r="R69" s="79"/>
      <c r="S69" s="80"/>
    </row>
    <row r="70" spans="1:24" customFormat="1" ht="63.75">
      <c r="A70" s="64" t="s">
        <v>2057</v>
      </c>
      <c r="B70" s="65">
        <v>104466</v>
      </c>
      <c r="C70" s="65" t="s">
        <v>133</v>
      </c>
      <c r="D70" s="72" t="s">
        <v>172</v>
      </c>
      <c r="E70" s="65" t="s">
        <v>160</v>
      </c>
      <c r="F70" s="65">
        <v>101093</v>
      </c>
      <c r="G70" s="67"/>
      <c r="H70" s="67"/>
      <c r="I70" s="67"/>
      <c r="J70" s="68">
        <v>12251.07</v>
      </c>
      <c r="K70" s="69"/>
      <c r="L70" s="68"/>
      <c r="M70" s="20">
        <v>1976.26</v>
      </c>
      <c r="N70" s="68"/>
      <c r="O70" s="68"/>
      <c r="P70" s="70" t="s">
        <v>1972</v>
      </c>
      <c r="Q70" s="68">
        <f>F70</f>
        <v>101093</v>
      </c>
      <c r="R70" s="70" t="s">
        <v>2508</v>
      </c>
      <c r="S70" s="71">
        <f>F70+J70-K70+M70</f>
        <v>115320.33</v>
      </c>
      <c r="U70" t="s">
        <v>2058</v>
      </c>
    </row>
    <row r="71" spans="1:24" customFormat="1" ht="35.1" customHeight="1">
      <c r="A71" s="64" t="s">
        <v>173</v>
      </c>
      <c r="B71" s="65" t="s">
        <v>2059</v>
      </c>
      <c r="C71" s="65" t="s">
        <v>133</v>
      </c>
      <c r="D71" s="72" t="s">
        <v>174</v>
      </c>
      <c r="E71" s="65" t="s">
        <v>160</v>
      </c>
      <c r="F71" s="65">
        <v>163.30000000000001</v>
      </c>
      <c r="G71" s="385" t="s">
        <v>2060</v>
      </c>
      <c r="H71" s="385"/>
      <c r="I71" s="385"/>
      <c r="J71" s="68">
        <v>4050.48</v>
      </c>
      <c r="K71" s="69"/>
      <c r="L71" s="68"/>
      <c r="M71" s="20">
        <v>2374.5</v>
      </c>
      <c r="N71" s="68"/>
      <c r="O71" s="68"/>
      <c r="P71" s="70" t="s">
        <v>1972</v>
      </c>
      <c r="Q71" s="68">
        <f>F71</f>
        <v>163.30000000000001</v>
      </c>
      <c r="R71" s="68" t="s">
        <v>2509</v>
      </c>
      <c r="S71" s="71">
        <f>F71+J71-K71+M71</f>
        <v>6588.28</v>
      </c>
      <c r="U71" s="81" t="s">
        <v>2043</v>
      </c>
    </row>
    <row r="72" spans="1:24" customFormat="1" ht="38.25">
      <c r="A72" s="64" t="s">
        <v>175</v>
      </c>
      <c r="B72" s="65" t="s">
        <v>2061</v>
      </c>
      <c r="C72" s="65" t="s">
        <v>133</v>
      </c>
      <c r="D72" s="72" t="s">
        <v>176</v>
      </c>
      <c r="E72" s="65" t="s">
        <v>160</v>
      </c>
      <c r="F72" s="65">
        <v>2410.4</v>
      </c>
      <c r="G72" s="387"/>
      <c r="H72" s="387"/>
      <c r="I72" s="387"/>
      <c r="J72" s="68"/>
      <c r="K72" s="69"/>
      <c r="L72" s="68"/>
      <c r="M72" s="20"/>
      <c r="N72" s="68"/>
      <c r="O72" s="68"/>
      <c r="P72" s="70"/>
      <c r="Q72" s="68"/>
      <c r="R72" s="70"/>
      <c r="S72" s="71"/>
    </row>
    <row r="73" spans="1:24" customFormat="1" ht="23.85" customHeight="1">
      <c r="A73" s="64" t="s">
        <v>177</v>
      </c>
      <c r="B73" s="65" t="s">
        <v>2062</v>
      </c>
      <c r="C73" s="65" t="s">
        <v>133</v>
      </c>
      <c r="D73" s="72" t="s">
        <v>178</v>
      </c>
      <c r="E73" s="65" t="s">
        <v>25</v>
      </c>
      <c r="F73" s="65">
        <v>800</v>
      </c>
      <c r="G73" s="385" t="s">
        <v>2063</v>
      </c>
      <c r="H73" s="385"/>
      <c r="I73" s="385"/>
      <c r="J73" s="68">
        <v>597.61</v>
      </c>
      <c r="K73" s="69"/>
      <c r="L73" s="68"/>
      <c r="M73" s="20">
        <v>763.32</v>
      </c>
      <c r="N73" s="68"/>
      <c r="O73" s="68"/>
      <c r="P73" s="70" t="s">
        <v>1972</v>
      </c>
      <c r="Q73" s="68">
        <f>F73</f>
        <v>800</v>
      </c>
      <c r="R73" s="70" t="s">
        <v>2510</v>
      </c>
      <c r="S73" s="71">
        <f>F73+J73-K73+M73</f>
        <v>2160.9300000000003</v>
      </c>
    </row>
    <row r="74" spans="1:24" customFormat="1" ht="35.1" customHeight="1">
      <c r="A74" s="64" t="s">
        <v>179</v>
      </c>
      <c r="B74" s="65" t="s">
        <v>180</v>
      </c>
      <c r="C74" s="65" t="s">
        <v>23</v>
      </c>
      <c r="D74" s="72" t="s">
        <v>181</v>
      </c>
      <c r="E74" s="65" t="s">
        <v>38</v>
      </c>
      <c r="F74" s="65">
        <v>3.95</v>
      </c>
      <c r="G74" s="385" t="s">
        <v>2063</v>
      </c>
      <c r="H74" s="385"/>
      <c r="I74" s="385"/>
      <c r="J74" s="68"/>
      <c r="K74" s="69"/>
      <c r="L74" s="68"/>
      <c r="M74" s="20"/>
      <c r="N74" s="68"/>
      <c r="O74" s="68"/>
      <c r="P74" s="70"/>
      <c r="Q74" s="68"/>
      <c r="R74" s="70"/>
      <c r="S74" s="71"/>
    </row>
    <row r="75" spans="1:24" customFormat="1" ht="23.85" customHeight="1">
      <c r="A75" s="64" t="s">
        <v>182</v>
      </c>
      <c r="B75" s="65" t="s">
        <v>183</v>
      </c>
      <c r="C75" s="65" t="s">
        <v>23</v>
      </c>
      <c r="D75" s="72" t="s">
        <v>184</v>
      </c>
      <c r="E75" s="65" t="s">
        <v>38</v>
      </c>
      <c r="F75" s="65">
        <v>1</v>
      </c>
      <c r="G75" s="385" t="s">
        <v>2063</v>
      </c>
      <c r="H75" s="385"/>
      <c r="I75" s="385"/>
      <c r="J75" s="68"/>
      <c r="K75" s="69"/>
      <c r="L75" s="68"/>
      <c r="M75" s="20">
        <v>17.07</v>
      </c>
      <c r="N75" s="68"/>
      <c r="O75" s="68"/>
      <c r="P75" s="70" t="s">
        <v>1972</v>
      </c>
      <c r="Q75" s="68">
        <f>F75</f>
        <v>1</v>
      </c>
      <c r="R75" s="70" t="s">
        <v>2486</v>
      </c>
      <c r="S75" s="71">
        <f>F75+J75-K75+M75</f>
        <v>18.07</v>
      </c>
    </row>
    <row r="76" spans="1:24" customFormat="1" ht="46.15" customHeight="1">
      <c r="A76" s="60" t="s">
        <v>185</v>
      </c>
      <c r="B76" s="21"/>
      <c r="C76" s="21"/>
      <c r="D76" s="61" t="s">
        <v>186</v>
      </c>
      <c r="E76" s="21"/>
      <c r="F76" s="21"/>
      <c r="G76" s="385" t="s">
        <v>2064</v>
      </c>
      <c r="H76" s="385"/>
      <c r="I76" s="385"/>
      <c r="J76" s="77"/>
      <c r="K76" s="78"/>
      <c r="L76" s="77"/>
      <c r="M76" s="12"/>
      <c r="N76" s="77"/>
      <c r="O76" s="77"/>
      <c r="P76" s="79"/>
      <c r="Q76" s="77"/>
      <c r="R76" s="79"/>
      <c r="S76" s="80"/>
    </row>
    <row r="77" spans="1:24" customFormat="1" ht="35.1" customHeight="1">
      <c r="A77" s="64" t="s">
        <v>187</v>
      </c>
      <c r="B77" s="65" t="s">
        <v>188</v>
      </c>
      <c r="C77" s="65" t="s">
        <v>133</v>
      </c>
      <c r="D77" s="72" t="s">
        <v>189</v>
      </c>
      <c r="E77" s="65" t="s">
        <v>38</v>
      </c>
      <c r="F77" s="65">
        <v>7.58</v>
      </c>
      <c r="G77" s="385" t="s">
        <v>2063</v>
      </c>
      <c r="H77" s="385"/>
      <c r="I77" s="385"/>
      <c r="J77" s="68"/>
      <c r="K77" s="69"/>
      <c r="L77" s="68"/>
      <c r="M77" s="20">
        <v>8.82</v>
      </c>
      <c r="N77" s="68"/>
      <c r="O77" s="68"/>
      <c r="P77" s="70" t="s">
        <v>1972</v>
      </c>
      <c r="Q77" s="68">
        <f>F77</f>
        <v>7.58</v>
      </c>
      <c r="R77" s="70" t="s">
        <v>2065</v>
      </c>
      <c r="S77" s="71">
        <f>F77+J77-K77+M77</f>
        <v>16.399999999999999</v>
      </c>
    </row>
    <row r="78" spans="1:24" customFormat="1" ht="35.1" customHeight="1">
      <c r="A78" s="64" t="s">
        <v>190</v>
      </c>
      <c r="B78" s="65" t="s">
        <v>191</v>
      </c>
      <c r="C78" s="65" t="s">
        <v>133</v>
      </c>
      <c r="D78" s="72" t="s">
        <v>192</v>
      </c>
      <c r="E78" s="65" t="s">
        <v>193</v>
      </c>
      <c r="F78" s="65">
        <v>19.14</v>
      </c>
      <c r="G78" s="385" t="s">
        <v>2066</v>
      </c>
      <c r="H78" s="385"/>
      <c r="I78" s="385"/>
      <c r="J78" s="68"/>
      <c r="K78" s="69"/>
      <c r="L78" s="68"/>
      <c r="M78" s="20"/>
      <c r="N78" s="68"/>
      <c r="O78" s="68"/>
      <c r="P78" s="70"/>
      <c r="Q78" s="68"/>
      <c r="R78" s="70"/>
      <c r="S78" s="71"/>
    </row>
    <row r="79" spans="1:24" customFormat="1" ht="35.1" customHeight="1">
      <c r="A79" s="60" t="s">
        <v>194</v>
      </c>
      <c r="B79" s="21"/>
      <c r="C79" s="21"/>
      <c r="D79" s="61" t="s">
        <v>195</v>
      </c>
      <c r="E79" s="21"/>
      <c r="F79" s="21"/>
      <c r="G79" s="385" t="s">
        <v>2067</v>
      </c>
      <c r="H79" s="385"/>
      <c r="I79" s="385"/>
      <c r="J79" s="77"/>
      <c r="K79" s="78"/>
      <c r="L79" s="77"/>
      <c r="M79" s="24"/>
      <c r="N79" s="77"/>
      <c r="O79" s="77"/>
      <c r="P79" s="79"/>
      <c r="Q79" s="77"/>
      <c r="R79" s="79"/>
      <c r="S79" s="80"/>
    </row>
    <row r="80" spans="1:24" customFormat="1" ht="23.85" customHeight="1">
      <c r="A80" s="60" t="s">
        <v>196</v>
      </c>
      <c r="B80" s="21"/>
      <c r="C80" s="21"/>
      <c r="D80" s="61" t="s">
        <v>197</v>
      </c>
      <c r="E80" s="21"/>
      <c r="F80" s="21"/>
      <c r="G80" s="385" t="s">
        <v>2063</v>
      </c>
      <c r="H80" s="385"/>
      <c r="I80" s="385"/>
      <c r="J80" s="77"/>
      <c r="K80" s="78"/>
      <c r="L80" s="77"/>
      <c r="M80" s="24"/>
      <c r="N80" s="77"/>
      <c r="O80" s="77"/>
      <c r="P80" s="79"/>
      <c r="Q80" s="77"/>
      <c r="R80" s="79"/>
      <c r="S80" s="80"/>
    </row>
    <row r="81" spans="1:21" customFormat="1" ht="113.45" customHeight="1">
      <c r="A81" s="64" t="s">
        <v>198</v>
      </c>
      <c r="B81" s="65" t="s">
        <v>199</v>
      </c>
      <c r="C81" s="65" t="s">
        <v>200</v>
      </c>
      <c r="D81" s="72" t="s">
        <v>201</v>
      </c>
      <c r="E81" s="65" t="s">
        <v>202</v>
      </c>
      <c r="F81" s="65">
        <v>1</v>
      </c>
      <c r="G81" s="385" t="s">
        <v>2063</v>
      </c>
      <c r="H81" s="385"/>
      <c r="I81" s="385"/>
      <c r="J81" s="68"/>
      <c r="K81" s="69"/>
      <c r="L81" s="68"/>
      <c r="M81" s="20"/>
      <c r="N81" s="68"/>
      <c r="O81" s="68"/>
      <c r="P81" s="70"/>
      <c r="Q81" s="68"/>
      <c r="R81" s="70"/>
      <c r="S81" s="71"/>
    </row>
    <row r="82" spans="1:21" customFormat="1" ht="35.1" customHeight="1">
      <c r="A82" s="60" t="s">
        <v>203</v>
      </c>
      <c r="B82" s="21"/>
      <c r="C82" s="21"/>
      <c r="D82" s="61" t="s">
        <v>204</v>
      </c>
      <c r="E82" s="21"/>
      <c r="F82" s="21"/>
      <c r="G82" s="385" t="s">
        <v>2068</v>
      </c>
      <c r="H82" s="385"/>
      <c r="I82" s="385"/>
      <c r="J82" s="77"/>
      <c r="K82" s="78"/>
      <c r="L82" s="77"/>
      <c r="M82" s="77"/>
      <c r="N82" s="77"/>
      <c r="O82" s="77"/>
      <c r="P82" s="79"/>
      <c r="Q82" s="77"/>
      <c r="R82" s="79"/>
      <c r="S82" s="80"/>
    </row>
    <row r="83" spans="1:21" customFormat="1" ht="46.15" customHeight="1">
      <c r="A83" s="60" t="s">
        <v>205</v>
      </c>
      <c r="B83" s="21"/>
      <c r="C83" s="21"/>
      <c r="D83" s="61" t="s">
        <v>206</v>
      </c>
      <c r="E83" s="21"/>
      <c r="F83" s="21"/>
      <c r="G83" s="385" t="s">
        <v>2069</v>
      </c>
      <c r="H83" s="385"/>
      <c r="I83" s="385"/>
      <c r="J83" s="77"/>
      <c r="K83" s="78"/>
      <c r="L83" s="77"/>
      <c r="M83" s="77"/>
      <c r="N83" s="77"/>
      <c r="O83" s="77"/>
      <c r="P83" s="79"/>
      <c r="Q83" s="77"/>
      <c r="R83" s="79"/>
      <c r="S83" s="80"/>
    </row>
    <row r="84" spans="1:21" customFormat="1" ht="35.1" customHeight="1">
      <c r="A84" s="60" t="s">
        <v>207</v>
      </c>
      <c r="B84" s="21"/>
      <c r="C84" s="21"/>
      <c r="D84" s="61" t="s">
        <v>208</v>
      </c>
      <c r="E84" s="21"/>
      <c r="F84" s="21"/>
      <c r="G84" s="385" t="s">
        <v>2070</v>
      </c>
      <c r="H84" s="385"/>
      <c r="I84" s="385"/>
      <c r="J84" s="77"/>
      <c r="K84" s="78"/>
      <c r="L84" s="77"/>
      <c r="M84" s="77"/>
      <c r="N84" s="77"/>
      <c r="O84" s="77"/>
      <c r="P84" s="79"/>
      <c r="Q84" s="77"/>
      <c r="R84" s="79"/>
      <c r="S84" s="80"/>
    </row>
    <row r="85" spans="1:21" customFormat="1" ht="35.1" customHeight="1">
      <c r="A85" s="60" t="s">
        <v>209</v>
      </c>
      <c r="B85" s="21"/>
      <c r="C85" s="21"/>
      <c r="D85" s="61" t="s">
        <v>210</v>
      </c>
      <c r="E85" s="21"/>
      <c r="F85" s="21"/>
      <c r="G85" s="385" t="s">
        <v>2071</v>
      </c>
      <c r="H85" s="385"/>
      <c r="I85" s="385"/>
      <c r="J85" s="77"/>
      <c r="K85" s="78"/>
      <c r="L85" s="77"/>
      <c r="M85" s="77"/>
      <c r="N85" s="77"/>
      <c r="O85" s="77"/>
      <c r="P85" s="79"/>
      <c r="Q85" s="77"/>
      <c r="R85" s="79"/>
      <c r="S85" s="80"/>
    </row>
    <row r="86" spans="1:21" customFormat="1" ht="46.15" customHeight="1">
      <c r="A86" s="60" t="s">
        <v>211</v>
      </c>
      <c r="B86" s="21"/>
      <c r="C86" s="21"/>
      <c r="D86" s="61" t="s">
        <v>212</v>
      </c>
      <c r="E86" s="21"/>
      <c r="F86" s="21"/>
      <c r="G86" s="385" t="s">
        <v>2072</v>
      </c>
      <c r="H86" s="385"/>
      <c r="I86" s="385"/>
      <c r="J86" s="77"/>
      <c r="K86" s="78"/>
      <c r="L86" s="77"/>
      <c r="M86" s="12"/>
      <c r="N86" s="77"/>
      <c r="O86" s="77"/>
      <c r="P86" s="79"/>
      <c r="Q86" s="77"/>
      <c r="R86" s="79"/>
      <c r="S86" s="80"/>
    </row>
    <row r="87" spans="1:21" customFormat="1" ht="46.15" customHeight="1">
      <c r="A87" s="64" t="s">
        <v>213</v>
      </c>
      <c r="B87" s="65" t="s">
        <v>214</v>
      </c>
      <c r="C87" s="65" t="s">
        <v>23</v>
      </c>
      <c r="D87" s="72" t="s">
        <v>215</v>
      </c>
      <c r="E87" s="65" t="s">
        <v>25</v>
      </c>
      <c r="F87" s="65">
        <v>89.4</v>
      </c>
      <c r="G87" s="385" t="s">
        <v>2073</v>
      </c>
      <c r="H87" s="385"/>
      <c r="I87" s="385"/>
      <c r="J87" s="68"/>
      <c r="K87" s="69"/>
      <c r="L87" s="68"/>
      <c r="M87" s="20"/>
      <c r="N87" s="68"/>
      <c r="O87" s="68"/>
      <c r="P87" s="70"/>
      <c r="Q87" s="68"/>
      <c r="R87" s="70"/>
      <c r="S87" s="71"/>
    </row>
    <row r="88" spans="1:21" customFormat="1" ht="46.15" customHeight="1">
      <c r="A88" s="64" t="s">
        <v>216</v>
      </c>
      <c r="B88" s="65" t="s">
        <v>217</v>
      </c>
      <c r="C88" s="65" t="s">
        <v>23</v>
      </c>
      <c r="D88" s="72" t="s">
        <v>218</v>
      </c>
      <c r="E88" s="65" t="s">
        <v>48</v>
      </c>
      <c r="F88" s="65">
        <v>4</v>
      </c>
      <c r="G88" s="385" t="s">
        <v>2074</v>
      </c>
      <c r="H88" s="385"/>
      <c r="I88" s="385"/>
      <c r="J88" s="68"/>
      <c r="K88" s="69"/>
      <c r="L88" s="68"/>
      <c r="M88" s="20"/>
      <c r="N88" s="68"/>
      <c r="O88" s="68"/>
      <c r="P88" s="70"/>
      <c r="Q88" s="68"/>
      <c r="R88" s="70"/>
      <c r="S88" s="71"/>
    </row>
    <row r="89" spans="1:21" customFormat="1" ht="35.1" customHeight="1">
      <c r="A89" s="64" t="s">
        <v>219</v>
      </c>
      <c r="B89" s="65" t="s">
        <v>220</v>
      </c>
      <c r="C89" s="65" t="s">
        <v>23</v>
      </c>
      <c r="D89" s="72" t="s">
        <v>221</v>
      </c>
      <c r="E89" s="65" t="s">
        <v>25</v>
      </c>
      <c r="F89" s="65">
        <v>43.25</v>
      </c>
      <c r="G89" s="385" t="s">
        <v>2075</v>
      </c>
      <c r="H89" s="385"/>
      <c r="I89" s="385"/>
      <c r="J89" s="68"/>
      <c r="K89" s="69"/>
      <c r="L89" s="68"/>
      <c r="M89" s="20">
        <v>2.7</v>
      </c>
      <c r="N89" s="68"/>
      <c r="O89" s="68"/>
      <c r="P89" s="70" t="s">
        <v>1972</v>
      </c>
      <c r="Q89" s="68">
        <f>F89</f>
        <v>43.25</v>
      </c>
      <c r="R89" s="70" t="s">
        <v>2076</v>
      </c>
      <c r="S89" s="71">
        <f>F89+J89-K89+M89</f>
        <v>45.95</v>
      </c>
    </row>
    <row r="90" spans="1:21" customFormat="1" ht="23.85" customHeight="1">
      <c r="A90" s="64" t="s">
        <v>222</v>
      </c>
      <c r="B90" s="65" t="s">
        <v>223</v>
      </c>
      <c r="C90" s="65" t="s">
        <v>23</v>
      </c>
      <c r="D90" s="72" t="s">
        <v>224</v>
      </c>
      <c r="E90" s="65" t="s">
        <v>25</v>
      </c>
      <c r="F90" s="65">
        <v>75.569999999999993</v>
      </c>
      <c r="G90" s="385" t="s">
        <v>2063</v>
      </c>
      <c r="H90" s="385"/>
      <c r="I90" s="385"/>
      <c r="J90" s="68"/>
      <c r="K90" s="69"/>
      <c r="L90" s="68"/>
      <c r="M90" s="20"/>
      <c r="N90" s="68"/>
      <c r="O90" s="68"/>
      <c r="P90" s="70"/>
      <c r="Q90" s="68"/>
      <c r="R90" s="70"/>
      <c r="S90" s="71"/>
    </row>
    <row r="91" spans="1:21" customFormat="1" ht="15">
      <c r="A91" s="60" t="s">
        <v>225</v>
      </c>
      <c r="B91" s="21"/>
      <c r="C91" s="21"/>
      <c r="D91" s="61" t="s">
        <v>226</v>
      </c>
      <c r="E91" s="21"/>
      <c r="F91" s="21"/>
      <c r="G91" s="387"/>
      <c r="H91" s="387"/>
      <c r="I91" s="387"/>
      <c r="J91" s="77"/>
      <c r="K91" s="78"/>
      <c r="L91" s="77"/>
      <c r="M91" s="12"/>
      <c r="N91" s="77"/>
      <c r="O91" s="77"/>
      <c r="P91" s="79"/>
      <c r="Q91" s="77"/>
      <c r="R91" s="79"/>
      <c r="S91" s="80"/>
    </row>
    <row r="92" spans="1:21" customFormat="1" ht="23.85" customHeight="1">
      <c r="A92" s="64" t="s">
        <v>227</v>
      </c>
      <c r="B92" s="65" t="s">
        <v>228</v>
      </c>
      <c r="C92" s="65" t="s">
        <v>23</v>
      </c>
      <c r="D92" s="72" t="s">
        <v>229</v>
      </c>
      <c r="E92" s="65" t="s">
        <v>107</v>
      </c>
      <c r="F92" s="65">
        <v>14.4</v>
      </c>
      <c r="G92" s="386" t="s">
        <v>2077</v>
      </c>
      <c r="H92" s="386"/>
      <c r="I92" s="386"/>
      <c r="J92" s="68"/>
      <c r="K92" s="69"/>
      <c r="L92" s="68"/>
      <c r="M92" s="20"/>
      <c r="N92" s="68"/>
      <c r="O92" s="68"/>
      <c r="P92" s="76"/>
      <c r="Q92" s="68"/>
      <c r="R92" s="70"/>
      <c r="S92" s="71"/>
    </row>
    <row r="93" spans="1:21" customFormat="1" ht="35.1" customHeight="1">
      <c r="A93" s="60" t="s">
        <v>230</v>
      </c>
      <c r="B93" s="21"/>
      <c r="C93" s="21"/>
      <c r="D93" s="61" t="s">
        <v>231</v>
      </c>
      <c r="E93" s="21"/>
      <c r="F93" s="21"/>
      <c r="G93" s="386" t="s">
        <v>2078</v>
      </c>
      <c r="H93" s="386"/>
      <c r="I93" s="386"/>
      <c r="J93" s="77"/>
      <c r="K93" s="78"/>
      <c r="L93" s="77"/>
      <c r="M93" s="12"/>
      <c r="N93" s="77"/>
      <c r="O93" s="77"/>
      <c r="P93" s="79"/>
      <c r="Q93" s="77"/>
      <c r="R93" s="79"/>
      <c r="S93" s="80"/>
    </row>
    <row r="94" spans="1:21" customFormat="1" ht="46.15" customHeight="1">
      <c r="A94" s="60" t="s">
        <v>232</v>
      </c>
      <c r="B94" s="21"/>
      <c r="C94" s="21"/>
      <c r="D94" s="61" t="s">
        <v>233</v>
      </c>
      <c r="E94" s="21"/>
      <c r="F94" s="21"/>
      <c r="G94" s="386" t="s">
        <v>2079</v>
      </c>
      <c r="H94" s="386"/>
      <c r="I94" s="386"/>
      <c r="J94" s="77"/>
      <c r="K94" s="78"/>
      <c r="L94" s="77"/>
      <c r="M94" s="12"/>
      <c r="N94" s="77"/>
      <c r="O94" s="77"/>
      <c r="P94" s="79"/>
      <c r="Q94" s="77"/>
      <c r="R94" s="79"/>
      <c r="S94" s="80"/>
    </row>
    <row r="95" spans="1:21" customFormat="1" ht="63.75">
      <c r="A95" s="64" t="s">
        <v>234</v>
      </c>
      <c r="B95" s="65" t="s">
        <v>235</v>
      </c>
      <c r="C95" s="65" t="s">
        <v>23</v>
      </c>
      <c r="D95" s="72" t="s">
        <v>236</v>
      </c>
      <c r="E95" s="65" t="s">
        <v>25</v>
      </c>
      <c r="F95" s="65">
        <v>739.97</v>
      </c>
      <c r="G95" s="387"/>
      <c r="H95" s="387"/>
      <c r="I95" s="387"/>
      <c r="J95" s="68">
        <v>208.43</v>
      </c>
      <c r="K95" s="69"/>
      <c r="L95" s="68"/>
      <c r="M95" s="20">
        <v>68.209999999999994</v>
      </c>
      <c r="N95" s="68"/>
      <c r="O95" s="68"/>
      <c r="P95" s="70" t="s">
        <v>1972</v>
      </c>
      <c r="Q95" s="68">
        <f>F95</f>
        <v>739.97</v>
      </c>
      <c r="R95" s="69" t="s">
        <v>2080</v>
      </c>
      <c r="S95" s="71">
        <f>F95+J95-K95+M95</f>
        <v>1016.6100000000001</v>
      </c>
      <c r="U95" s="82" t="s">
        <v>2081</v>
      </c>
    </row>
    <row r="96" spans="1:21" customFormat="1" ht="46.15" customHeight="1">
      <c r="A96" s="64" t="s">
        <v>237</v>
      </c>
      <c r="B96" s="65" t="s">
        <v>238</v>
      </c>
      <c r="C96" s="65" t="s">
        <v>133</v>
      </c>
      <c r="D96" s="72" t="s">
        <v>239</v>
      </c>
      <c r="E96" s="65" t="s">
        <v>25</v>
      </c>
      <c r="F96" s="65">
        <v>940.86</v>
      </c>
      <c r="G96" s="385" t="s">
        <v>2082</v>
      </c>
      <c r="H96" s="385"/>
      <c r="I96" s="385"/>
      <c r="J96" s="68"/>
      <c r="K96" s="69"/>
      <c r="L96" s="68"/>
      <c r="M96" s="20">
        <v>178.53</v>
      </c>
      <c r="N96" s="68"/>
      <c r="O96" s="68"/>
      <c r="P96" s="70" t="s">
        <v>1972</v>
      </c>
      <c r="Q96" s="68">
        <f>F96</f>
        <v>940.86</v>
      </c>
      <c r="R96" s="70" t="s">
        <v>2083</v>
      </c>
      <c r="S96" s="71">
        <f>F96+J96-K96+M96</f>
        <v>1119.3900000000001</v>
      </c>
    </row>
    <row r="97" spans="1:19" customFormat="1" ht="35.1" customHeight="1">
      <c r="A97" s="64" t="s">
        <v>240</v>
      </c>
      <c r="B97" s="65" t="s">
        <v>241</v>
      </c>
      <c r="C97" s="65" t="s">
        <v>200</v>
      </c>
      <c r="D97" s="72" t="s">
        <v>242</v>
      </c>
      <c r="E97" s="65" t="s">
        <v>243</v>
      </c>
      <c r="F97" s="65">
        <v>940.86</v>
      </c>
      <c r="G97" s="385" t="s">
        <v>2084</v>
      </c>
      <c r="H97" s="385"/>
      <c r="I97" s="385"/>
      <c r="J97" s="68"/>
      <c r="K97" s="69"/>
      <c r="L97" s="68"/>
      <c r="M97" s="20"/>
      <c r="N97" s="68"/>
      <c r="O97" s="68"/>
      <c r="P97" s="70"/>
      <c r="Q97" s="68"/>
      <c r="R97" s="70"/>
      <c r="S97" s="71"/>
    </row>
    <row r="98" spans="1:19" customFormat="1" ht="35.1" customHeight="1">
      <c r="A98" s="60" t="s">
        <v>244</v>
      </c>
      <c r="B98" s="21"/>
      <c r="C98" s="21"/>
      <c r="D98" s="61" t="s">
        <v>245</v>
      </c>
      <c r="E98" s="21"/>
      <c r="F98" s="21"/>
      <c r="G98" s="385" t="s">
        <v>2085</v>
      </c>
      <c r="H98" s="385"/>
      <c r="I98" s="385"/>
      <c r="J98" s="77"/>
      <c r="K98" s="78"/>
      <c r="L98" s="77"/>
      <c r="M98" s="12"/>
      <c r="N98" s="77"/>
      <c r="O98" s="77"/>
      <c r="P98" s="79"/>
      <c r="Q98" s="77"/>
      <c r="R98" s="79"/>
      <c r="S98" s="80"/>
    </row>
    <row r="99" spans="1:19" customFormat="1" ht="35.1" customHeight="1">
      <c r="A99" s="60" t="s">
        <v>246</v>
      </c>
      <c r="B99" s="21"/>
      <c r="C99" s="21"/>
      <c r="D99" s="61" t="s">
        <v>247</v>
      </c>
      <c r="E99" s="21"/>
      <c r="F99" s="21"/>
      <c r="G99" s="385" t="s">
        <v>2086</v>
      </c>
      <c r="H99" s="385"/>
      <c r="I99" s="385"/>
      <c r="J99" s="77"/>
      <c r="K99" s="78"/>
      <c r="L99" s="77"/>
      <c r="M99" s="12"/>
      <c r="N99" s="77"/>
      <c r="O99" s="77"/>
      <c r="P99" s="79"/>
      <c r="Q99" s="77"/>
      <c r="R99" s="79"/>
      <c r="S99" s="80"/>
    </row>
    <row r="100" spans="1:19" customFormat="1" ht="35.1" customHeight="1">
      <c r="A100" s="60" t="s">
        <v>248</v>
      </c>
      <c r="B100" s="21"/>
      <c r="C100" s="21"/>
      <c r="D100" s="61" t="s">
        <v>249</v>
      </c>
      <c r="E100" s="21"/>
      <c r="F100" s="21"/>
      <c r="G100" s="385" t="s">
        <v>2087</v>
      </c>
      <c r="H100" s="385"/>
      <c r="I100" s="385"/>
      <c r="J100" s="77"/>
      <c r="K100" s="78"/>
      <c r="L100" s="77"/>
      <c r="M100" s="12"/>
      <c r="N100" s="77"/>
      <c r="O100" s="77"/>
      <c r="P100" s="79"/>
      <c r="Q100" s="77"/>
      <c r="R100" s="79"/>
      <c r="S100" s="80"/>
    </row>
    <row r="101" spans="1:19" customFormat="1" ht="35.1" customHeight="1">
      <c r="A101" s="64" t="s">
        <v>250</v>
      </c>
      <c r="B101" s="65" t="s">
        <v>251</v>
      </c>
      <c r="C101" s="65" t="s">
        <v>133</v>
      </c>
      <c r="D101" s="72" t="s">
        <v>252</v>
      </c>
      <c r="E101" s="65" t="s">
        <v>253</v>
      </c>
      <c r="F101" s="65">
        <v>2</v>
      </c>
      <c r="G101" s="385" t="s">
        <v>2088</v>
      </c>
      <c r="H101" s="385"/>
      <c r="I101" s="385"/>
      <c r="J101" s="68"/>
      <c r="K101" s="69"/>
      <c r="L101" s="68"/>
      <c r="M101" s="20"/>
      <c r="N101" s="68"/>
      <c r="O101" s="68"/>
      <c r="P101" s="70"/>
      <c r="Q101" s="68"/>
      <c r="R101" s="70"/>
      <c r="S101" s="71"/>
    </row>
    <row r="102" spans="1:19" customFormat="1" ht="35.1" customHeight="1">
      <c r="A102" s="64" t="s">
        <v>254</v>
      </c>
      <c r="B102" s="65" t="s">
        <v>255</v>
      </c>
      <c r="C102" s="65" t="s">
        <v>200</v>
      </c>
      <c r="D102" s="72" t="s">
        <v>256</v>
      </c>
      <c r="E102" s="65" t="s">
        <v>243</v>
      </c>
      <c r="F102" s="65">
        <v>1.52</v>
      </c>
      <c r="G102" s="385" t="s">
        <v>2089</v>
      </c>
      <c r="H102" s="385"/>
      <c r="I102" s="385"/>
      <c r="J102" s="68"/>
      <c r="K102" s="69"/>
      <c r="L102" s="68"/>
      <c r="M102" s="20"/>
      <c r="N102" s="68"/>
      <c r="O102" s="68"/>
      <c r="P102" s="70"/>
      <c r="Q102" s="68"/>
      <c r="R102" s="70"/>
      <c r="S102" s="71"/>
    </row>
    <row r="103" spans="1:19" customFormat="1" ht="57.4" customHeight="1">
      <c r="A103" s="60" t="s">
        <v>257</v>
      </c>
      <c r="B103" s="21"/>
      <c r="C103" s="21"/>
      <c r="D103" s="61" t="s">
        <v>258</v>
      </c>
      <c r="E103" s="21"/>
      <c r="F103" s="21"/>
      <c r="G103" s="385" t="s">
        <v>2090</v>
      </c>
      <c r="H103" s="385"/>
      <c r="I103" s="385"/>
      <c r="J103" s="77"/>
      <c r="K103" s="78"/>
      <c r="L103" s="77"/>
      <c r="M103" s="12"/>
      <c r="N103" s="77"/>
      <c r="O103" s="77"/>
      <c r="P103" s="79"/>
      <c r="Q103" s="77"/>
      <c r="R103" s="79"/>
      <c r="S103" s="80"/>
    </row>
    <row r="104" spans="1:19" customFormat="1" ht="57.4" customHeight="1">
      <c r="A104" s="64" t="s">
        <v>259</v>
      </c>
      <c r="B104" s="65" t="s">
        <v>260</v>
      </c>
      <c r="C104" s="65" t="s">
        <v>133</v>
      </c>
      <c r="D104" s="72" t="s">
        <v>261</v>
      </c>
      <c r="E104" s="65" t="s">
        <v>253</v>
      </c>
      <c r="F104" s="65">
        <v>5</v>
      </c>
      <c r="G104" s="385" t="s">
        <v>2091</v>
      </c>
      <c r="H104" s="385"/>
      <c r="I104" s="385"/>
      <c r="J104" s="68">
        <v>1</v>
      </c>
      <c r="K104" s="69"/>
      <c r="L104" s="68"/>
      <c r="M104" s="20"/>
      <c r="N104" s="68"/>
      <c r="O104" s="68"/>
      <c r="P104" s="70" t="s">
        <v>1996</v>
      </c>
      <c r="Q104" s="68">
        <v>5</v>
      </c>
      <c r="R104" s="70" t="s">
        <v>2092</v>
      </c>
      <c r="S104" s="71">
        <f>6</f>
        <v>6</v>
      </c>
    </row>
    <row r="105" spans="1:19" customFormat="1" ht="57.4" customHeight="1">
      <c r="A105" s="64" t="s">
        <v>262</v>
      </c>
      <c r="B105" s="65" t="s">
        <v>263</v>
      </c>
      <c r="C105" s="65" t="s">
        <v>133</v>
      </c>
      <c r="D105" s="72" t="s">
        <v>264</v>
      </c>
      <c r="E105" s="65" t="s">
        <v>253</v>
      </c>
      <c r="F105" s="65">
        <v>15</v>
      </c>
      <c r="G105" s="385" t="s">
        <v>2093</v>
      </c>
      <c r="H105" s="385"/>
      <c r="I105" s="385"/>
      <c r="J105" s="68"/>
      <c r="K105" s="69"/>
      <c r="L105" s="68"/>
      <c r="M105" s="20"/>
      <c r="N105" s="68"/>
      <c r="O105" s="68"/>
      <c r="P105" s="70"/>
      <c r="Q105" s="68"/>
      <c r="R105" s="70"/>
      <c r="S105" s="71"/>
    </row>
    <row r="106" spans="1:19" customFormat="1" ht="57.4" customHeight="1">
      <c r="A106" s="64" t="s">
        <v>265</v>
      </c>
      <c r="B106" s="65" t="s">
        <v>266</v>
      </c>
      <c r="C106" s="65" t="s">
        <v>133</v>
      </c>
      <c r="D106" s="72" t="s">
        <v>267</v>
      </c>
      <c r="E106" s="65" t="s">
        <v>253</v>
      </c>
      <c r="F106" s="65">
        <v>4</v>
      </c>
      <c r="G106" s="385" t="s">
        <v>2094</v>
      </c>
      <c r="H106" s="385"/>
      <c r="I106" s="385"/>
      <c r="J106" s="68"/>
      <c r="K106" s="68">
        <v>2</v>
      </c>
      <c r="L106" s="68"/>
      <c r="M106" s="20"/>
      <c r="N106" s="68"/>
      <c r="O106" s="68"/>
      <c r="P106" s="76" t="s">
        <v>1996</v>
      </c>
      <c r="Q106" s="68">
        <v>4</v>
      </c>
      <c r="R106" s="83" t="s">
        <v>2095</v>
      </c>
      <c r="S106" s="84">
        <f>Q106-2</f>
        <v>2</v>
      </c>
    </row>
    <row r="107" spans="1:19" customFormat="1" ht="57.4" customHeight="1">
      <c r="A107" s="64" t="s">
        <v>268</v>
      </c>
      <c r="B107" s="65" t="s">
        <v>269</v>
      </c>
      <c r="C107" s="65" t="s">
        <v>133</v>
      </c>
      <c r="D107" s="72" t="s">
        <v>270</v>
      </c>
      <c r="E107" s="65" t="s">
        <v>253</v>
      </c>
      <c r="F107" s="65">
        <v>4</v>
      </c>
      <c r="G107" s="385" t="s">
        <v>2096</v>
      </c>
      <c r="H107" s="385"/>
      <c r="I107" s="385"/>
      <c r="J107" s="68">
        <v>32</v>
      </c>
      <c r="K107" s="69"/>
      <c r="L107" s="68"/>
      <c r="M107" s="20">
        <v>1</v>
      </c>
      <c r="N107" s="68"/>
      <c r="O107" s="68"/>
      <c r="P107" s="70" t="s">
        <v>1972</v>
      </c>
      <c r="Q107" s="68">
        <f>F107</f>
        <v>4</v>
      </c>
      <c r="R107" s="73" t="s">
        <v>2097</v>
      </c>
      <c r="S107" s="71">
        <f>F107+J107-K107+M107</f>
        <v>37</v>
      </c>
    </row>
    <row r="108" spans="1:19" customFormat="1" ht="57.4" customHeight="1">
      <c r="A108" s="64" t="s">
        <v>271</v>
      </c>
      <c r="B108" s="65" t="s">
        <v>272</v>
      </c>
      <c r="C108" s="65" t="s">
        <v>133</v>
      </c>
      <c r="D108" s="72" t="s">
        <v>273</v>
      </c>
      <c r="E108" s="65" t="s">
        <v>25</v>
      </c>
      <c r="F108" s="65">
        <v>224.57</v>
      </c>
      <c r="G108" s="385" t="s">
        <v>2098</v>
      </c>
      <c r="H108" s="385"/>
      <c r="I108" s="385"/>
      <c r="J108" s="69">
        <v>19.89</v>
      </c>
      <c r="K108" s="69"/>
      <c r="L108" s="68"/>
      <c r="M108" s="20"/>
      <c r="N108" s="68"/>
      <c r="O108" s="68"/>
      <c r="P108" s="70" t="s">
        <v>1996</v>
      </c>
      <c r="Q108" s="68">
        <f>F108</f>
        <v>224.57</v>
      </c>
      <c r="R108" s="70" t="s">
        <v>2099</v>
      </c>
      <c r="S108" s="71">
        <f>F108+J108</f>
        <v>244.45999999999998</v>
      </c>
    </row>
    <row r="109" spans="1:19" customFormat="1" ht="57.4" customHeight="1">
      <c r="A109" s="64" t="s">
        <v>274</v>
      </c>
      <c r="B109" s="65" t="s">
        <v>275</v>
      </c>
      <c r="C109" s="65" t="s">
        <v>200</v>
      </c>
      <c r="D109" s="72" t="s">
        <v>276</v>
      </c>
      <c r="E109" s="65" t="s">
        <v>202</v>
      </c>
      <c r="F109" s="65">
        <v>4</v>
      </c>
      <c r="G109" s="385" t="s">
        <v>2100</v>
      </c>
      <c r="H109" s="385"/>
      <c r="I109" s="385"/>
      <c r="J109" s="68"/>
      <c r="K109" s="68">
        <v>4</v>
      </c>
      <c r="L109" s="68"/>
      <c r="M109" s="20"/>
      <c r="N109" s="68"/>
      <c r="O109" s="68"/>
      <c r="P109" s="76" t="s">
        <v>1996</v>
      </c>
      <c r="Q109" s="68">
        <v>4</v>
      </c>
      <c r="R109" s="83" t="s">
        <v>2101</v>
      </c>
      <c r="S109" s="84">
        <f>Q109-4</f>
        <v>0</v>
      </c>
    </row>
    <row r="110" spans="1:19" customFormat="1" ht="57.4" customHeight="1">
      <c r="A110" s="64" t="s">
        <v>277</v>
      </c>
      <c r="B110" s="65" t="s">
        <v>278</v>
      </c>
      <c r="C110" s="65" t="s">
        <v>200</v>
      </c>
      <c r="D110" s="72" t="s">
        <v>279</v>
      </c>
      <c r="E110" s="65" t="s">
        <v>202</v>
      </c>
      <c r="F110" s="65">
        <v>23</v>
      </c>
      <c r="G110" s="385" t="s">
        <v>2102</v>
      </c>
      <c r="H110" s="385"/>
      <c r="I110" s="385"/>
      <c r="J110" s="68"/>
      <c r="K110" s="68">
        <v>23</v>
      </c>
      <c r="L110" s="68"/>
      <c r="M110" s="20"/>
      <c r="N110" s="68"/>
      <c r="O110" s="68"/>
      <c r="P110" s="76" t="s">
        <v>1996</v>
      </c>
      <c r="Q110" s="68">
        <v>23</v>
      </c>
      <c r="R110" s="83" t="s">
        <v>2103</v>
      </c>
      <c r="S110" s="84">
        <f>Q110-23</f>
        <v>0</v>
      </c>
    </row>
    <row r="111" spans="1:19" customFormat="1" ht="57.4" customHeight="1">
      <c r="A111" s="64" t="s">
        <v>280</v>
      </c>
      <c r="B111" s="65" t="s">
        <v>281</v>
      </c>
      <c r="C111" s="65" t="s">
        <v>200</v>
      </c>
      <c r="D111" s="72" t="s">
        <v>282</v>
      </c>
      <c r="E111" s="65" t="s">
        <v>202</v>
      </c>
      <c r="F111" s="65">
        <v>4</v>
      </c>
      <c r="G111" s="385" t="s">
        <v>2104</v>
      </c>
      <c r="H111" s="385"/>
      <c r="I111" s="385"/>
      <c r="J111" s="68"/>
      <c r="K111" s="68">
        <v>4</v>
      </c>
      <c r="L111" s="68"/>
      <c r="M111" s="20"/>
      <c r="N111" s="68"/>
      <c r="O111" s="68"/>
      <c r="P111" s="76" t="s">
        <v>1996</v>
      </c>
      <c r="Q111" s="68">
        <v>4</v>
      </c>
      <c r="R111" s="83" t="s">
        <v>2101</v>
      </c>
      <c r="S111" s="84">
        <f>Q111-4</f>
        <v>0</v>
      </c>
    </row>
    <row r="112" spans="1:19" customFormat="1" ht="57.4" customHeight="1">
      <c r="A112" s="64" t="s">
        <v>283</v>
      </c>
      <c r="B112" s="65" t="s">
        <v>284</v>
      </c>
      <c r="C112" s="65" t="s">
        <v>200</v>
      </c>
      <c r="D112" s="72" t="s">
        <v>285</v>
      </c>
      <c r="E112" s="65" t="s">
        <v>202</v>
      </c>
      <c r="F112" s="65">
        <v>20</v>
      </c>
      <c r="G112" s="385" t="s">
        <v>2105</v>
      </c>
      <c r="H112" s="385"/>
      <c r="I112" s="385"/>
      <c r="J112" s="68">
        <v>2</v>
      </c>
      <c r="K112" s="69"/>
      <c r="L112" s="68"/>
      <c r="M112" s="20"/>
      <c r="N112" s="68"/>
      <c r="O112" s="68"/>
      <c r="P112" s="76" t="s">
        <v>1996</v>
      </c>
      <c r="Q112" s="68">
        <v>20</v>
      </c>
      <c r="R112" s="73" t="s">
        <v>2106</v>
      </c>
      <c r="S112" s="84">
        <f>Q112+2</f>
        <v>22</v>
      </c>
    </row>
    <row r="113" spans="1:30" customFormat="1" ht="57.4" customHeight="1">
      <c r="A113" s="64" t="s">
        <v>286</v>
      </c>
      <c r="B113" s="65" t="s">
        <v>287</v>
      </c>
      <c r="C113" s="65" t="s">
        <v>200</v>
      </c>
      <c r="D113" s="72" t="s">
        <v>288</v>
      </c>
      <c r="E113" s="65" t="s">
        <v>202</v>
      </c>
      <c r="F113" s="65">
        <v>1</v>
      </c>
      <c r="G113" s="385" t="s">
        <v>2107</v>
      </c>
      <c r="H113" s="385"/>
      <c r="I113" s="385"/>
      <c r="J113" s="68"/>
      <c r="K113" s="68">
        <v>1</v>
      </c>
      <c r="L113" s="68"/>
      <c r="M113" s="20"/>
      <c r="N113" s="68"/>
      <c r="O113" s="68"/>
      <c r="P113" s="76" t="s">
        <v>1996</v>
      </c>
      <c r="Q113" s="68">
        <v>1</v>
      </c>
      <c r="R113" s="83" t="s">
        <v>2108</v>
      </c>
      <c r="S113" s="84">
        <f>Q113-1</f>
        <v>0</v>
      </c>
    </row>
    <row r="114" spans="1:30" customFormat="1" ht="57.4" customHeight="1">
      <c r="A114" s="64" t="s">
        <v>289</v>
      </c>
      <c r="B114" s="65" t="s">
        <v>290</v>
      </c>
      <c r="C114" s="65" t="s">
        <v>200</v>
      </c>
      <c r="D114" s="72" t="s">
        <v>291</v>
      </c>
      <c r="E114" s="65" t="s">
        <v>202</v>
      </c>
      <c r="F114" s="65">
        <v>1</v>
      </c>
      <c r="G114" s="385" t="s">
        <v>2109</v>
      </c>
      <c r="H114" s="385"/>
      <c r="I114" s="385"/>
      <c r="J114" s="68"/>
      <c r="K114" s="69"/>
      <c r="L114" s="68"/>
      <c r="M114" s="20"/>
      <c r="N114" s="68"/>
      <c r="O114" s="68"/>
      <c r="P114" s="70"/>
      <c r="Q114" s="68"/>
      <c r="R114" s="70"/>
      <c r="S114" s="71"/>
    </row>
    <row r="115" spans="1:30" customFormat="1" ht="46.15" customHeight="1">
      <c r="A115" s="60" t="s">
        <v>2110</v>
      </c>
      <c r="B115" s="21"/>
      <c r="C115" s="21"/>
      <c r="D115" s="61" t="s">
        <v>2111</v>
      </c>
      <c r="E115" s="21"/>
      <c r="F115" s="21"/>
      <c r="G115" s="385" t="s">
        <v>2112</v>
      </c>
      <c r="H115" s="385"/>
      <c r="I115" s="385"/>
      <c r="J115" s="77"/>
      <c r="K115" s="78"/>
      <c r="L115" s="77"/>
      <c r="M115" s="77"/>
      <c r="N115" s="77"/>
      <c r="O115" s="77"/>
      <c r="P115" s="79"/>
      <c r="Q115" s="77"/>
      <c r="R115" s="79"/>
      <c r="S115" s="80"/>
    </row>
    <row r="116" spans="1:30" customFormat="1" ht="35.1" customHeight="1">
      <c r="A116" s="60" t="s">
        <v>2113</v>
      </c>
      <c r="B116" s="21"/>
      <c r="C116" s="21"/>
      <c r="D116" s="61" t="s">
        <v>2114</v>
      </c>
      <c r="E116" s="21"/>
      <c r="F116" s="21"/>
      <c r="G116" s="385" t="s">
        <v>2115</v>
      </c>
      <c r="H116" s="385"/>
      <c r="I116" s="385"/>
      <c r="J116" s="77"/>
      <c r="K116" s="78"/>
      <c r="L116" s="77"/>
      <c r="M116" s="77"/>
      <c r="N116" s="77"/>
      <c r="O116" s="77"/>
      <c r="P116" s="79"/>
      <c r="Q116" s="77"/>
      <c r="R116" s="79"/>
      <c r="S116" s="80"/>
    </row>
    <row r="117" spans="1:30" customFormat="1" ht="57.4" customHeight="1">
      <c r="A117" s="60" t="s">
        <v>2116</v>
      </c>
      <c r="B117" s="21"/>
      <c r="C117" s="21"/>
      <c r="D117" s="61" t="s">
        <v>2117</v>
      </c>
      <c r="E117" s="21"/>
      <c r="F117" s="21"/>
      <c r="G117" s="385" t="s">
        <v>2118</v>
      </c>
      <c r="H117" s="385"/>
      <c r="I117" s="385"/>
      <c r="J117" s="77"/>
      <c r="K117" s="78"/>
      <c r="L117" s="77"/>
      <c r="M117" s="77"/>
      <c r="N117" s="77"/>
      <c r="O117" s="77"/>
      <c r="P117" s="79"/>
      <c r="Q117" s="77"/>
      <c r="R117" s="79"/>
      <c r="S117" s="80"/>
    </row>
    <row r="118" spans="1:30" customFormat="1" ht="35.1" customHeight="1">
      <c r="A118" s="60" t="s">
        <v>2119</v>
      </c>
      <c r="B118" s="21"/>
      <c r="C118" s="21"/>
      <c r="D118" s="61" t="s">
        <v>317</v>
      </c>
      <c r="E118" s="21"/>
      <c r="F118" s="21"/>
      <c r="G118" s="385" t="s">
        <v>2120</v>
      </c>
      <c r="H118" s="385"/>
      <c r="I118" s="385"/>
      <c r="J118" s="77"/>
      <c r="K118" s="78"/>
      <c r="L118" s="77"/>
      <c r="M118" s="77"/>
      <c r="N118" s="77"/>
      <c r="O118" s="77"/>
      <c r="P118" s="79"/>
      <c r="Q118" s="77"/>
      <c r="R118" s="79"/>
      <c r="S118" s="80"/>
    </row>
    <row r="119" spans="1:30" customFormat="1" ht="46.15" customHeight="1">
      <c r="A119" s="60" t="s">
        <v>2121</v>
      </c>
      <c r="B119" s="21"/>
      <c r="C119" s="21"/>
      <c r="D119" s="61" t="s">
        <v>2122</v>
      </c>
      <c r="E119" s="21"/>
      <c r="F119" s="21"/>
      <c r="G119" s="385" t="s">
        <v>2123</v>
      </c>
      <c r="H119" s="385"/>
      <c r="I119" s="385"/>
      <c r="J119" s="77"/>
      <c r="K119" s="78"/>
      <c r="L119" s="77"/>
      <c r="M119" s="77"/>
      <c r="N119" s="77"/>
      <c r="O119" s="77"/>
      <c r="P119" s="79"/>
      <c r="Q119" s="77"/>
      <c r="R119" s="79"/>
      <c r="S119" s="80"/>
    </row>
    <row r="120" spans="1:30" customFormat="1" ht="46.15" customHeight="1">
      <c r="A120" s="60" t="s">
        <v>2124</v>
      </c>
      <c r="B120" s="21"/>
      <c r="C120" s="21"/>
      <c r="D120" s="61" t="s">
        <v>2125</v>
      </c>
      <c r="E120" s="21"/>
      <c r="F120" s="21"/>
      <c r="G120" s="385" t="s">
        <v>2123</v>
      </c>
      <c r="H120" s="385"/>
      <c r="I120" s="385"/>
      <c r="J120" s="77"/>
      <c r="K120" s="78"/>
      <c r="L120" s="77"/>
      <c r="M120" s="77"/>
      <c r="N120" s="77"/>
      <c r="O120" s="77"/>
      <c r="P120" s="79"/>
      <c r="Q120" s="77"/>
      <c r="R120" s="79"/>
      <c r="S120" s="80"/>
    </row>
    <row r="121" spans="1:30" customFormat="1" ht="35.1" customHeight="1">
      <c r="A121" s="60" t="s">
        <v>292</v>
      </c>
      <c r="B121" s="21"/>
      <c r="C121" s="21"/>
      <c r="D121" s="61" t="s">
        <v>293</v>
      </c>
      <c r="E121" s="21"/>
      <c r="F121" s="21"/>
      <c r="G121" s="385" t="s">
        <v>2126</v>
      </c>
      <c r="H121" s="385"/>
      <c r="I121" s="385"/>
      <c r="J121" s="77"/>
      <c r="K121" s="78"/>
      <c r="L121" s="77"/>
      <c r="M121" s="77"/>
      <c r="N121" s="77"/>
      <c r="O121" s="77"/>
      <c r="P121" s="79"/>
      <c r="Q121" s="77"/>
      <c r="R121" s="79"/>
      <c r="S121" s="80"/>
    </row>
    <row r="122" spans="1:30" customFormat="1" ht="35.1" customHeight="1">
      <c r="A122" s="60" t="s">
        <v>294</v>
      </c>
      <c r="B122" s="21"/>
      <c r="C122" s="21"/>
      <c r="D122" s="61" t="s">
        <v>295</v>
      </c>
      <c r="E122" s="21"/>
      <c r="F122" s="21"/>
      <c r="G122" s="385" t="s">
        <v>2127</v>
      </c>
      <c r="H122" s="385"/>
      <c r="I122" s="385"/>
      <c r="J122" s="77"/>
      <c r="K122" s="78"/>
      <c r="L122" s="77"/>
      <c r="M122" s="12"/>
      <c r="N122" s="77"/>
      <c r="O122" s="77"/>
      <c r="P122" s="79"/>
      <c r="Q122" s="77"/>
      <c r="R122" s="79"/>
      <c r="S122" s="80"/>
    </row>
    <row r="123" spans="1:30" customFormat="1" ht="35.1" customHeight="1">
      <c r="A123" s="64" t="s">
        <v>296</v>
      </c>
      <c r="B123" s="65" t="s">
        <v>297</v>
      </c>
      <c r="C123" s="65" t="s">
        <v>23</v>
      </c>
      <c r="D123" s="72" t="s">
        <v>298</v>
      </c>
      <c r="E123" s="65" t="s">
        <v>25</v>
      </c>
      <c r="F123" s="65">
        <v>98.96</v>
      </c>
      <c r="G123" s="385" t="s">
        <v>2128</v>
      </c>
      <c r="H123" s="385"/>
      <c r="I123" s="385"/>
      <c r="J123" s="68"/>
      <c r="K123" s="69"/>
      <c r="L123" s="68"/>
      <c r="M123" s="20">
        <v>131.51</v>
      </c>
      <c r="N123" s="68"/>
      <c r="O123" s="68"/>
      <c r="P123" s="70" t="s">
        <v>1972</v>
      </c>
      <c r="Q123" s="68">
        <f>F123</f>
        <v>98.96</v>
      </c>
      <c r="R123" s="70" t="s">
        <v>2477</v>
      </c>
      <c r="S123" s="71">
        <f>F123+J123-K123+M123</f>
        <v>230.46999999999997</v>
      </c>
    </row>
    <row r="124" spans="1:30" customFormat="1" ht="35.1" customHeight="1">
      <c r="A124" s="60" t="s">
        <v>299</v>
      </c>
      <c r="B124" s="21"/>
      <c r="C124" s="21"/>
      <c r="D124" s="61" t="s">
        <v>300</v>
      </c>
      <c r="E124" s="21"/>
      <c r="F124" s="21"/>
      <c r="G124" s="385" t="s">
        <v>2129</v>
      </c>
      <c r="H124" s="385"/>
      <c r="I124" s="385"/>
      <c r="J124" s="77"/>
      <c r="K124" s="78"/>
      <c r="L124" s="77"/>
      <c r="M124" s="12"/>
      <c r="N124" s="77"/>
      <c r="O124" s="77"/>
      <c r="P124" s="79"/>
      <c r="Q124" s="77"/>
      <c r="R124" s="79"/>
      <c r="S124" s="80"/>
    </row>
    <row r="125" spans="1:30" customFormat="1" ht="38.25">
      <c r="A125" s="64" t="s">
        <v>301</v>
      </c>
      <c r="B125" s="65" t="s">
        <v>302</v>
      </c>
      <c r="C125" s="65" t="s">
        <v>23</v>
      </c>
      <c r="D125" s="72" t="s">
        <v>303</v>
      </c>
      <c r="E125" s="65" t="s">
        <v>25</v>
      </c>
      <c r="F125" s="65">
        <v>24</v>
      </c>
      <c r="G125" s="387"/>
      <c r="H125" s="387"/>
      <c r="I125" s="387"/>
      <c r="J125" s="68">
        <v>9.6</v>
      </c>
      <c r="K125" s="69"/>
      <c r="L125" s="68"/>
      <c r="M125" s="20">
        <v>4</v>
      </c>
      <c r="N125" s="68"/>
      <c r="O125" s="68"/>
      <c r="P125" s="70" t="s">
        <v>1972</v>
      </c>
      <c r="Q125" s="68">
        <f>F125</f>
        <v>24</v>
      </c>
      <c r="R125" s="73" t="s">
        <v>2130</v>
      </c>
      <c r="S125" s="71">
        <f>F125+J125-K125+M125</f>
        <v>37.6</v>
      </c>
      <c r="U125" t="s">
        <v>2131</v>
      </c>
    </row>
    <row r="126" spans="1:30" customFormat="1" ht="35.1" customHeight="1">
      <c r="A126" s="64" t="s">
        <v>304</v>
      </c>
      <c r="B126" s="65" t="s">
        <v>305</v>
      </c>
      <c r="C126" s="65" t="s">
        <v>23</v>
      </c>
      <c r="D126" s="72" t="s">
        <v>306</v>
      </c>
      <c r="E126" s="65" t="s">
        <v>25</v>
      </c>
      <c r="F126" s="65">
        <v>1.8</v>
      </c>
      <c r="G126" s="385" t="s">
        <v>2084</v>
      </c>
      <c r="H126" s="385"/>
      <c r="I126" s="385"/>
      <c r="J126" s="68"/>
      <c r="K126" s="69"/>
      <c r="L126" s="68"/>
      <c r="M126" s="20">
        <v>1.2</v>
      </c>
      <c r="N126" s="68"/>
      <c r="O126" s="68"/>
      <c r="P126" s="70" t="s">
        <v>1972</v>
      </c>
      <c r="Q126" s="68">
        <f>F126</f>
        <v>1.8</v>
      </c>
      <c r="R126" s="70" t="s">
        <v>2132</v>
      </c>
      <c r="S126" s="71">
        <f>F126+J126-K126+M126</f>
        <v>3</v>
      </c>
    </row>
    <row r="127" spans="1:30" customFormat="1" ht="38.25">
      <c r="A127" s="64" t="s">
        <v>307</v>
      </c>
      <c r="B127" s="65" t="s">
        <v>308</v>
      </c>
      <c r="C127" s="65" t="s">
        <v>23</v>
      </c>
      <c r="D127" s="72" t="s">
        <v>309</v>
      </c>
      <c r="E127" s="65" t="s">
        <v>25</v>
      </c>
      <c r="F127" s="65">
        <v>40.92</v>
      </c>
      <c r="G127" s="69" t="s">
        <v>2085</v>
      </c>
      <c r="H127" s="68"/>
      <c r="I127" s="68"/>
      <c r="J127" s="69"/>
      <c r="K127" s="70"/>
      <c r="L127" s="70"/>
      <c r="M127" s="20">
        <v>12.96</v>
      </c>
      <c r="N127" s="70"/>
      <c r="O127" s="70"/>
      <c r="P127" s="70" t="s">
        <v>1972</v>
      </c>
      <c r="Q127" s="68">
        <f>F127</f>
        <v>40.92</v>
      </c>
      <c r="R127" s="68" t="s">
        <v>2133</v>
      </c>
      <c r="S127" s="71">
        <f>F127+J127-K127+M127</f>
        <v>53.88</v>
      </c>
      <c r="T127" s="85"/>
      <c r="U127" s="86"/>
      <c r="V127" s="20"/>
      <c r="W127" s="20"/>
      <c r="X127" s="86"/>
      <c r="Y127" s="86"/>
      <c r="Z127" s="20"/>
      <c r="AA127" s="87"/>
      <c r="AB127" s="20"/>
      <c r="AC127" s="87"/>
      <c r="AD127" s="20"/>
    </row>
    <row r="128" spans="1:30" customFormat="1" ht="46.15" customHeight="1">
      <c r="A128" s="64" t="s">
        <v>310</v>
      </c>
      <c r="B128" s="65" t="s">
        <v>311</v>
      </c>
      <c r="C128" s="65" t="s">
        <v>133</v>
      </c>
      <c r="D128" s="72" t="s">
        <v>312</v>
      </c>
      <c r="E128" s="65" t="s">
        <v>25</v>
      </c>
      <c r="F128" s="65">
        <v>142.72</v>
      </c>
      <c r="G128" s="385" t="s">
        <v>2134</v>
      </c>
      <c r="H128" s="385"/>
      <c r="I128" s="385"/>
      <c r="J128" s="68"/>
      <c r="K128" s="69"/>
      <c r="L128" s="68"/>
      <c r="M128" s="20"/>
      <c r="N128" s="68"/>
      <c r="O128" s="68"/>
      <c r="P128" s="70"/>
      <c r="Q128" s="68"/>
      <c r="R128" s="70"/>
      <c r="S128" s="71"/>
    </row>
    <row r="129" spans="1:30" customFormat="1" ht="25.5">
      <c r="A129" s="64" t="s">
        <v>313</v>
      </c>
      <c r="B129" s="65" t="s">
        <v>314</v>
      </c>
      <c r="C129" s="65" t="s">
        <v>133</v>
      </c>
      <c r="D129" s="72" t="s">
        <v>315</v>
      </c>
      <c r="E129" s="65" t="s">
        <v>253</v>
      </c>
      <c r="F129" s="65">
        <v>2</v>
      </c>
      <c r="G129" s="62"/>
      <c r="H129" s="62"/>
      <c r="I129" s="62"/>
      <c r="J129" s="68"/>
      <c r="K129" s="69"/>
      <c r="L129" s="68"/>
      <c r="M129" s="20"/>
      <c r="N129" s="68"/>
      <c r="O129" s="68"/>
      <c r="P129" s="76"/>
      <c r="Q129" s="68"/>
      <c r="R129" s="73"/>
      <c r="S129" s="84"/>
    </row>
    <row r="130" spans="1:30" customFormat="1" ht="23.85" customHeight="1">
      <c r="A130" s="60" t="s">
        <v>316</v>
      </c>
      <c r="B130" s="21"/>
      <c r="C130" s="21"/>
      <c r="D130" s="61" t="s">
        <v>317</v>
      </c>
      <c r="E130" s="21"/>
      <c r="F130" s="21"/>
      <c r="G130" s="385" t="s">
        <v>2135</v>
      </c>
      <c r="H130" s="385"/>
      <c r="I130" s="385"/>
      <c r="J130" s="77"/>
      <c r="K130" s="78"/>
      <c r="L130" s="77"/>
      <c r="M130" s="12"/>
      <c r="N130" s="77"/>
      <c r="O130" s="77"/>
      <c r="P130" s="79"/>
      <c r="Q130" s="77"/>
      <c r="R130" s="79"/>
      <c r="S130" s="80"/>
    </row>
    <row r="131" spans="1:30" customFormat="1" ht="35.1" customHeight="1">
      <c r="A131" s="64" t="s">
        <v>318</v>
      </c>
      <c r="B131" s="65" t="s">
        <v>319</v>
      </c>
      <c r="C131" s="65" t="s">
        <v>23</v>
      </c>
      <c r="D131" s="72" t="s">
        <v>320</v>
      </c>
      <c r="E131" s="65" t="s">
        <v>25</v>
      </c>
      <c r="F131" s="65">
        <v>14.4</v>
      </c>
      <c r="G131" s="385" t="s">
        <v>2136</v>
      </c>
      <c r="H131" s="385"/>
      <c r="I131" s="385"/>
      <c r="J131" s="68"/>
      <c r="K131" s="69"/>
      <c r="L131" s="68"/>
      <c r="M131" s="20"/>
      <c r="N131" s="68"/>
      <c r="O131" s="68"/>
      <c r="P131" s="70"/>
      <c r="Q131" s="68"/>
      <c r="R131" s="70"/>
      <c r="S131" s="71"/>
    </row>
    <row r="132" spans="1:30" customFormat="1" ht="35.1" customHeight="1">
      <c r="A132" s="60" t="s">
        <v>321</v>
      </c>
      <c r="B132" s="21"/>
      <c r="C132" s="21"/>
      <c r="D132" s="61" t="s">
        <v>322</v>
      </c>
      <c r="E132" s="21"/>
      <c r="F132" s="21"/>
      <c r="G132" s="385" t="s">
        <v>2093</v>
      </c>
      <c r="H132" s="385"/>
      <c r="I132" s="385"/>
      <c r="J132" s="77"/>
      <c r="K132" s="78"/>
      <c r="L132" s="77"/>
      <c r="M132" s="12"/>
      <c r="N132" s="77"/>
      <c r="O132" s="77"/>
      <c r="P132" s="79"/>
      <c r="Q132" s="77"/>
      <c r="R132" s="79"/>
      <c r="S132" s="80"/>
    </row>
    <row r="133" spans="1:30" customFormat="1" ht="35.1" customHeight="1">
      <c r="A133" s="60" t="s">
        <v>323</v>
      </c>
      <c r="B133" s="21"/>
      <c r="C133" s="21"/>
      <c r="D133" s="61" t="s">
        <v>324</v>
      </c>
      <c r="E133" s="21"/>
      <c r="F133" s="21"/>
      <c r="G133" s="385" t="s">
        <v>2094</v>
      </c>
      <c r="H133" s="385"/>
      <c r="I133" s="385"/>
      <c r="J133" s="77"/>
      <c r="K133" s="78"/>
      <c r="L133" s="77"/>
      <c r="M133" s="12"/>
      <c r="N133" s="77"/>
      <c r="O133" s="77"/>
      <c r="P133" s="79"/>
      <c r="Q133" s="77"/>
      <c r="R133" s="79"/>
      <c r="S133" s="80"/>
    </row>
    <row r="134" spans="1:30" customFormat="1" ht="15">
      <c r="A134" s="64" t="s">
        <v>325</v>
      </c>
      <c r="B134" s="65" t="s">
        <v>326</v>
      </c>
      <c r="C134" s="65" t="s">
        <v>23</v>
      </c>
      <c r="D134" s="72" t="s">
        <v>327</v>
      </c>
      <c r="E134" s="65" t="s">
        <v>25</v>
      </c>
      <c r="F134" s="65">
        <v>393.09</v>
      </c>
      <c r="G134" s="387"/>
      <c r="H134" s="387"/>
      <c r="I134" s="387"/>
      <c r="J134" s="68">
        <v>21.59</v>
      </c>
      <c r="K134" s="69"/>
      <c r="L134" s="68"/>
      <c r="M134" s="20">
        <v>5.2</v>
      </c>
      <c r="N134" s="68"/>
      <c r="O134" s="68"/>
      <c r="P134" s="70" t="s">
        <v>1972</v>
      </c>
      <c r="Q134" s="68">
        <f>F134</f>
        <v>393.09</v>
      </c>
      <c r="R134" s="70" t="s">
        <v>2137</v>
      </c>
      <c r="S134" s="71">
        <f>F134+J134-K134+M134</f>
        <v>419.87999999999994</v>
      </c>
    </row>
    <row r="135" spans="1:30" customFormat="1" ht="25.5">
      <c r="A135" s="64" t="s">
        <v>328</v>
      </c>
      <c r="B135" s="65" t="s">
        <v>329</v>
      </c>
      <c r="C135" s="65" t="s">
        <v>133</v>
      </c>
      <c r="D135" s="72" t="s">
        <v>330</v>
      </c>
      <c r="E135" s="65" t="s">
        <v>25</v>
      </c>
      <c r="F135" s="65">
        <v>79.2</v>
      </c>
      <c r="G135" s="69"/>
      <c r="H135" s="68"/>
      <c r="I135" s="68"/>
      <c r="J135" s="69">
        <v>99.22</v>
      </c>
      <c r="K135" s="70"/>
      <c r="L135" s="70"/>
      <c r="M135" s="20">
        <f>17.64+68.54+77</f>
        <v>163.18</v>
      </c>
      <c r="N135" s="70"/>
      <c r="O135" s="70"/>
      <c r="P135" s="70" t="s">
        <v>1972</v>
      </c>
      <c r="Q135" s="68">
        <f>F135</f>
        <v>79.2</v>
      </c>
      <c r="R135" s="68" t="s">
        <v>2138</v>
      </c>
      <c r="S135" s="71">
        <f>F135+J135-K135+M135</f>
        <v>341.6</v>
      </c>
      <c r="T135" s="85"/>
      <c r="U135" s="86" t="s">
        <v>2139</v>
      </c>
      <c r="V135" s="20"/>
      <c r="W135" s="20"/>
      <c r="X135" s="86"/>
      <c r="Y135" s="86"/>
      <c r="Z135" s="20"/>
      <c r="AA135" s="87"/>
      <c r="AB135" s="20"/>
      <c r="AC135" s="87"/>
      <c r="AD135" s="20"/>
    </row>
    <row r="136" spans="1:30" customFormat="1" ht="35.1" customHeight="1">
      <c r="A136" s="60" t="s">
        <v>331</v>
      </c>
      <c r="B136" s="21"/>
      <c r="C136" s="21"/>
      <c r="D136" s="61" t="s">
        <v>332</v>
      </c>
      <c r="E136" s="21"/>
      <c r="F136" s="21"/>
      <c r="G136" s="385" t="s">
        <v>2140</v>
      </c>
      <c r="H136" s="385"/>
      <c r="I136" s="385"/>
      <c r="J136" s="77"/>
      <c r="K136" s="78"/>
      <c r="L136" s="77"/>
      <c r="M136" s="12"/>
      <c r="N136" s="77"/>
      <c r="O136" s="77"/>
      <c r="P136" s="79"/>
      <c r="Q136" s="77"/>
      <c r="R136" s="79"/>
      <c r="S136" s="80"/>
    </row>
    <row r="137" spans="1:30" customFormat="1" ht="35.1" customHeight="1">
      <c r="A137" s="64" t="s">
        <v>333</v>
      </c>
      <c r="B137" s="65" t="s">
        <v>334</v>
      </c>
      <c r="C137" s="65" t="s">
        <v>23</v>
      </c>
      <c r="D137" s="72" t="s">
        <v>335</v>
      </c>
      <c r="E137" s="65" t="s">
        <v>25</v>
      </c>
      <c r="F137" s="65">
        <v>10.5</v>
      </c>
      <c r="G137" s="385" t="s">
        <v>2141</v>
      </c>
      <c r="H137" s="385"/>
      <c r="I137" s="385"/>
      <c r="J137" s="68"/>
      <c r="K137" s="69"/>
      <c r="L137" s="68"/>
      <c r="M137" s="20">
        <v>3</v>
      </c>
      <c r="N137" s="68"/>
      <c r="O137" s="68"/>
      <c r="P137" s="70" t="s">
        <v>1972</v>
      </c>
      <c r="Q137" s="68">
        <f>F137</f>
        <v>10.5</v>
      </c>
      <c r="R137" s="70" t="s">
        <v>2142</v>
      </c>
      <c r="S137" s="71">
        <f>F137+J137-K137+M137</f>
        <v>13.5</v>
      </c>
    </row>
    <row r="138" spans="1:30" customFormat="1" ht="35.1" customHeight="1">
      <c r="A138" s="60" t="s">
        <v>336</v>
      </c>
      <c r="B138" s="21"/>
      <c r="C138" s="21"/>
      <c r="D138" s="61" t="s">
        <v>337</v>
      </c>
      <c r="E138" s="21"/>
      <c r="F138" s="21"/>
      <c r="G138" s="385" t="s">
        <v>2143</v>
      </c>
      <c r="H138" s="385"/>
      <c r="I138" s="385"/>
      <c r="J138" s="77"/>
      <c r="K138" s="78"/>
      <c r="L138" s="77"/>
      <c r="M138" s="12"/>
      <c r="N138" s="77"/>
      <c r="O138" s="77"/>
      <c r="P138" s="79"/>
      <c r="Q138" s="77"/>
      <c r="R138" s="79"/>
      <c r="S138" s="80"/>
    </row>
    <row r="139" spans="1:30" customFormat="1" ht="57.4" customHeight="1">
      <c r="A139" s="60" t="s">
        <v>338</v>
      </c>
      <c r="B139" s="21"/>
      <c r="C139" s="21"/>
      <c r="D139" s="61" t="s">
        <v>339</v>
      </c>
      <c r="E139" s="21"/>
      <c r="F139" s="21"/>
      <c r="G139" s="385" t="s">
        <v>2144</v>
      </c>
      <c r="H139" s="385"/>
      <c r="I139" s="385"/>
      <c r="J139" s="77"/>
      <c r="K139" s="78"/>
      <c r="L139" s="77"/>
      <c r="M139" s="12"/>
      <c r="N139" s="77"/>
      <c r="O139" s="77"/>
      <c r="P139" s="79"/>
      <c r="Q139" s="77"/>
      <c r="R139" s="79"/>
      <c r="S139" s="80"/>
    </row>
    <row r="140" spans="1:30" customFormat="1" ht="57.4" customHeight="1">
      <c r="A140" s="60" t="s">
        <v>340</v>
      </c>
      <c r="B140" s="21"/>
      <c r="C140" s="21"/>
      <c r="D140" s="61" t="s">
        <v>341</v>
      </c>
      <c r="E140" s="21"/>
      <c r="F140" s="21"/>
      <c r="G140" s="385" t="s">
        <v>2144</v>
      </c>
      <c r="H140" s="385"/>
      <c r="I140" s="385"/>
      <c r="J140" s="77"/>
      <c r="K140" s="78"/>
      <c r="L140" s="77"/>
      <c r="M140" s="12"/>
      <c r="N140" s="77"/>
      <c r="O140" s="77"/>
      <c r="P140" s="79"/>
      <c r="Q140" s="77"/>
      <c r="R140" s="79"/>
      <c r="S140" s="80"/>
    </row>
    <row r="141" spans="1:30" customFormat="1" ht="35.1" customHeight="1">
      <c r="A141" s="64" t="s">
        <v>342</v>
      </c>
      <c r="B141" s="65" t="s">
        <v>343</v>
      </c>
      <c r="C141" s="65" t="s">
        <v>133</v>
      </c>
      <c r="D141" s="72" t="s">
        <v>344</v>
      </c>
      <c r="E141" s="65" t="s">
        <v>25</v>
      </c>
      <c r="F141" s="65">
        <v>3618.28</v>
      </c>
      <c r="G141" s="385" t="s">
        <v>2145</v>
      </c>
      <c r="H141" s="385"/>
      <c r="I141" s="385"/>
      <c r="J141" s="68"/>
      <c r="K141" s="69"/>
      <c r="L141" s="68"/>
      <c r="M141" s="20"/>
      <c r="N141" s="68"/>
      <c r="O141" s="68"/>
      <c r="P141" s="70"/>
      <c r="Q141" s="68"/>
      <c r="R141" s="70"/>
      <c r="S141" s="71"/>
    </row>
    <row r="142" spans="1:30" customFormat="1" ht="38.25">
      <c r="A142" s="64" t="s">
        <v>345</v>
      </c>
      <c r="B142" s="65" t="s">
        <v>346</v>
      </c>
      <c r="C142" s="65" t="s">
        <v>133</v>
      </c>
      <c r="D142" s="72" t="s">
        <v>347</v>
      </c>
      <c r="E142" s="65" t="s">
        <v>25</v>
      </c>
      <c r="F142" s="65">
        <v>835.24</v>
      </c>
      <c r="G142" s="387"/>
      <c r="H142" s="387"/>
      <c r="I142" s="387"/>
      <c r="J142" s="68"/>
      <c r="K142" s="69"/>
      <c r="L142" s="68"/>
      <c r="M142" s="20"/>
      <c r="N142" s="68"/>
      <c r="O142" s="68"/>
      <c r="P142" s="70"/>
      <c r="Q142" s="68"/>
      <c r="R142" s="69"/>
      <c r="S142" s="71"/>
    </row>
    <row r="143" spans="1:30" customFormat="1" ht="35.1" customHeight="1">
      <c r="A143" s="60" t="s">
        <v>348</v>
      </c>
      <c r="B143" s="21"/>
      <c r="C143" s="21"/>
      <c r="D143" s="61" t="s">
        <v>349</v>
      </c>
      <c r="E143" s="21"/>
      <c r="F143" s="21"/>
      <c r="G143" s="385" t="s">
        <v>2146</v>
      </c>
      <c r="H143" s="385"/>
      <c r="I143" s="385"/>
      <c r="J143" s="77"/>
      <c r="K143" s="78"/>
      <c r="L143" s="77"/>
      <c r="M143" s="12"/>
      <c r="N143" s="77"/>
      <c r="O143" s="77"/>
      <c r="P143" s="79"/>
      <c r="Q143" s="77"/>
      <c r="R143" s="78"/>
      <c r="S143" s="80"/>
    </row>
    <row r="144" spans="1:30" customFormat="1" ht="15">
      <c r="A144" s="64" t="s">
        <v>350</v>
      </c>
      <c r="B144" s="65" t="s">
        <v>351</v>
      </c>
      <c r="C144" s="65" t="s">
        <v>23</v>
      </c>
      <c r="D144" s="72" t="s">
        <v>352</v>
      </c>
      <c r="E144" s="65" t="s">
        <v>107</v>
      </c>
      <c r="F144" s="65">
        <v>19.8</v>
      </c>
      <c r="G144" s="387"/>
      <c r="H144" s="387"/>
      <c r="I144" s="387"/>
      <c r="J144" s="68"/>
      <c r="K144" s="69"/>
      <c r="L144" s="68"/>
      <c r="M144" s="20">
        <v>23.6</v>
      </c>
      <c r="N144" s="68"/>
      <c r="O144" s="68"/>
      <c r="P144" s="70" t="s">
        <v>1972</v>
      </c>
      <c r="Q144" s="68">
        <f>F144</f>
        <v>19.8</v>
      </c>
      <c r="R144" s="69" t="s">
        <v>2147</v>
      </c>
      <c r="S144" s="71">
        <f>F144+J144-K144+M144</f>
        <v>43.400000000000006</v>
      </c>
    </row>
    <row r="145" spans="1:22" customFormat="1" ht="35.1" customHeight="1">
      <c r="A145" s="60" t="s">
        <v>353</v>
      </c>
      <c r="B145" s="21"/>
      <c r="C145" s="21"/>
      <c r="D145" s="61" t="s">
        <v>354</v>
      </c>
      <c r="E145" s="21"/>
      <c r="F145" s="21"/>
      <c r="G145" s="385" t="s">
        <v>2148</v>
      </c>
      <c r="H145" s="385"/>
      <c r="I145" s="385"/>
      <c r="J145" s="77"/>
      <c r="K145" s="78"/>
      <c r="L145" s="77"/>
      <c r="M145" s="12"/>
      <c r="N145" s="77"/>
      <c r="O145" s="77"/>
      <c r="P145" s="79"/>
      <c r="Q145" s="77"/>
      <c r="R145" s="79"/>
      <c r="S145" s="80"/>
    </row>
    <row r="146" spans="1:22" customFormat="1" ht="15">
      <c r="A146" s="60" t="s">
        <v>355</v>
      </c>
      <c r="B146" s="21"/>
      <c r="C146" s="21"/>
      <c r="D146" s="61" t="s">
        <v>317</v>
      </c>
      <c r="E146" s="21"/>
      <c r="F146" s="21"/>
      <c r="G146" s="387"/>
      <c r="H146" s="387"/>
      <c r="I146" s="387"/>
      <c r="J146" s="77"/>
      <c r="K146" s="78"/>
      <c r="L146" s="77"/>
      <c r="M146" s="12"/>
      <c r="N146" s="77"/>
      <c r="O146" s="77"/>
      <c r="P146" s="79"/>
      <c r="Q146" s="77"/>
      <c r="R146" s="78"/>
      <c r="S146" s="80"/>
    </row>
    <row r="147" spans="1:22" customFormat="1" ht="23.85" customHeight="1">
      <c r="A147" s="60" t="s">
        <v>356</v>
      </c>
      <c r="B147" s="21"/>
      <c r="C147" s="21"/>
      <c r="D147" s="61" t="s">
        <v>357</v>
      </c>
      <c r="E147" s="21"/>
      <c r="F147" s="21"/>
      <c r="G147" s="385" t="s">
        <v>2149</v>
      </c>
      <c r="H147" s="385"/>
      <c r="I147" s="385"/>
      <c r="J147" s="77"/>
      <c r="K147" s="78"/>
      <c r="L147" s="77"/>
      <c r="M147" s="12"/>
      <c r="N147" s="77"/>
      <c r="O147" s="77"/>
      <c r="P147" s="79"/>
      <c r="Q147" s="77"/>
      <c r="R147" s="79"/>
      <c r="S147" s="80"/>
    </row>
    <row r="148" spans="1:22" customFormat="1" ht="35.1" customHeight="1">
      <c r="A148" s="60" t="s">
        <v>358</v>
      </c>
      <c r="B148" s="21"/>
      <c r="C148" s="21"/>
      <c r="D148" s="61" t="s">
        <v>359</v>
      </c>
      <c r="E148" s="21"/>
      <c r="F148" s="21"/>
      <c r="G148" s="385" t="s">
        <v>2150</v>
      </c>
      <c r="H148" s="385"/>
      <c r="I148" s="385"/>
      <c r="J148" s="77"/>
      <c r="K148" s="78"/>
      <c r="L148" s="77"/>
      <c r="M148" s="12"/>
      <c r="N148" s="77"/>
      <c r="O148" s="77"/>
      <c r="P148" s="79"/>
      <c r="Q148" s="77"/>
      <c r="R148" s="79"/>
      <c r="S148" s="80"/>
    </row>
    <row r="149" spans="1:22" customFormat="1" ht="46.15" customHeight="1">
      <c r="A149" s="60" t="s">
        <v>360</v>
      </c>
      <c r="B149" s="21"/>
      <c r="C149" s="21"/>
      <c r="D149" s="61" t="s">
        <v>361</v>
      </c>
      <c r="E149" s="21"/>
      <c r="F149" s="21"/>
      <c r="G149" s="385" t="s">
        <v>2151</v>
      </c>
      <c r="H149" s="385"/>
      <c r="I149" s="385"/>
      <c r="J149" s="77"/>
      <c r="K149" s="78"/>
      <c r="L149" s="77"/>
      <c r="M149" s="12"/>
      <c r="N149" s="77"/>
      <c r="O149" s="77"/>
      <c r="P149" s="79"/>
      <c r="Q149" s="77"/>
      <c r="R149" s="79"/>
      <c r="S149" s="80"/>
    </row>
    <row r="150" spans="1:22" customFormat="1" ht="46.15" customHeight="1">
      <c r="A150" s="64" t="s">
        <v>362</v>
      </c>
      <c r="B150" s="65" t="s">
        <v>363</v>
      </c>
      <c r="C150" s="65" t="s">
        <v>23</v>
      </c>
      <c r="D150" s="72" t="s">
        <v>364</v>
      </c>
      <c r="E150" s="65" t="s">
        <v>25</v>
      </c>
      <c r="F150" s="65">
        <v>470.35</v>
      </c>
      <c r="G150" s="385" t="s">
        <v>2152</v>
      </c>
      <c r="H150" s="385"/>
      <c r="I150" s="385"/>
      <c r="J150" s="68"/>
      <c r="K150" s="69"/>
      <c r="L150" s="68"/>
      <c r="M150" s="20"/>
      <c r="N150" s="68"/>
      <c r="O150" s="68"/>
      <c r="P150" s="70"/>
      <c r="Q150" s="68"/>
      <c r="R150" s="70"/>
      <c r="S150" s="71"/>
    </row>
    <row r="151" spans="1:22" customFormat="1" ht="46.15" customHeight="1">
      <c r="A151" s="64" t="s">
        <v>365</v>
      </c>
      <c r="B151" s="65" t="s">
        <v>366</v>
      </c>
      <c r="C151" s="65" t="s">
        <v>23</v>
      </c>
      <c r="D151" s="72" t="s">
        <v>367</v>
      </c>
      <c r="E151" s="65" t="s">
        <v>25</v>
      </c>
      <c r="F151" s="65">
        <v>69.06</v>
      </c>
      <c r="G151" s="385" t="s">
        <v>2153</v>
      </c>
      <c r="H151" s="385"/>
      <c r="I151" s="385"/>
      <c r="J151" s="68">
        <v>305.13</v>
      </c>
      <c r="K151" s="69"/>
      <c r="L151" s="68"/>
      <c r="M151" s="20"/>
      <c r="N151" s="68"/>
      <c r="O151" s="68"/>
      <c r="P151" s="76" t="s">
        <v>1996</v>
      </c>
      <c r="Q151" s="68">
        <v>69.06</v>
      </c>
      <c r="R151" s="70" t="s">
        <v>2154</v>
      </c>
      <c r="S151" s="88">
        <f>69.06+237.69+67.44</f>
        <v>374.19</v>
      </c>
      <c r="U151" t="s">
        <v>2155</v>
      </c>
    </row>
    <row r="152" spans="1:22" ht="25.5">
      <c r="A152" s="64" t="s">
        <v>368</v>
      </c>
      <c r="B152" s="65" t="s">
        <v>369</v>
      </c>
      <c r="C152" s="65" t="s">
        <v>23</v>
      </c>
      <c r="D152" s="72" t="s">
        <v>370</v>
      </c>
      <c r="E152" s="65" t="s">
        <v>25</v>
      </c>
      <c r="F152" s="65">
        <v>77.31</v>
      </c>
      <c r="G152" s="89"/>
      <c r="H152" s="89"/>
      <c r="I152" s="89"/>
      <c r="J152" s="68"/>
      <c r="K152" s="89"/>
      <c r="L152" s="90"/>
      <c r="M152" s="20">
        <f>721.4+108.67</f>
        <v>830.06999999999994</v>
      </c>
      <c r="N152" s="90"/>
      <c r="O152" s="90"/>
      <c r="P152" s="70" t="s">
        <v>1972</v>
      </c>
      <c r="Q152" s="68">
        <f>F152</f>
        <v>77.31</v>
      </c>
      <c r="R152" s="89" t="s">
        <v>2156</v>
      </c>
      <c r="S152" s="71">
        <f>F152+J152-K152+M152</f>
        <v>907.37999999999988</v>
      </c>
    </row>
    <row r="153" spans="1:22">
      <c r="A153" s="60" t="s">
        <v>371</v>
      </c>
      <c r="B153" s="21"/>
      <c r="C153" s="21"/>
      <c r="D153" s="61" t="s">
        <v>372</v>
      </c>
      <c r="E153" s="21"/>
      <c r="F153" s="21"/>
      <c r="G153" s="89"/>
      <c r="H153" s="89"/>
      <c r="I153" s="89"/>
      <c r="J153" s="91"/>
      <c r="K153" s="91"/>
      <c r="L153" s="92"/>
      <c r="M153" s="12"/>
      <c r="N153" s="92"/>
      <c r="O153" s="92"/>
      <c r="P153" s="93"/>
      <c r="Q153" s="92"/>
      <c r="R153" s="93"/>
      <c r="S153" s="94"/>
      <c r="U153" s="47">
        <v>17.043800000000001</v>
      </c>
      <c r="V153" s="47" t="s">
        <v>2157</v>
      </c>
    </row>
    <row r="154" spans="1:22">
      <c r="A154" s="60" t="s">
        <v>373</v>
      </c>
      <c r="B154" s="21"/>
      <c r="C154" s="21"/>
      <c r="D154" s="61" t="s">
        <v>374</v>
      </c>
      <c r="E154" s="21"/>
      <c r="F154" s="21"/>
      <c r="G154" s="89"/>
      <c r="H154" s="89"/>
      <c r="I154" s="89"/>
      <c r="J154" s="91"/>
      <c r="K154" s="91"/>
      <c r="L154" s="92"/>
      <c r="M154" s="12"/>
      <c r="N154" s="92"/>
      <c r="O154" s="92"/>
      <c r="P154" s="93"/>
      <c r="Q154" s="92"/>
      <c r="R154" s="93"/>
      <c r="S154" s="94"/>
    </row>
    <row r="155" spans="1:22">
      <c r="A155" s="60" t="s">
        <v>375</v>
      </c>
      <c r="B155" s="21"/>
      <c r="C155" s="21"/>
      <c r="D155" s="61" t="s">
        <v>376</v>
      </c>
      <c r="E155" s="21"/>
      <c r="F155" s="21"/>
      <c r="G155" s="89"/>
      <c r="H155" s="89"/>
      <c r="I155" s="89"/>
      <c r="J155" s="91"/>
      <c r="K155" s="91"/>
      <c r="L155" s="92"/>
      <c r="M155" s="12"/>
      <c r="N155" s="92"/>
      <c r="O155" s="92"/>
      <c r="P155" s="93"/>
      <c r="Q155" s="92"/>
      <c r="R155" s="93"/>
      <c r="S155" s="94"/>
    </row>
    <row r="156" spans="1:22">
      <c r="A156" s="60" t="s">
        <v>377</v>
      </c>
      <c r="B156" s="21"/>
      <c r="C156" s="21"/>
      <c r="D156" s="61" t="s">
        <v>378</v>
      </c>
      <c r="E156" s="21"/>
      <c r="F156" s="21"/>
      <c r="G156" s="89"/>
      <c r="H156" s="89"/>
      <c r="I156" s="89"/>
      <c r="J156" s="91"/>
      <c r="K156" s="91"/>
      <c r="L156" s="92"/>
      <c r="M156" s="12"/>
      <c r="N156" s="92"/>
      <c r="O156" s="92"/>
      <c r="P156" s="93"/>
      <c r="Q156" s="92"/>
      <c r="R156" s="91"/>
      <c r="S156" s="94"/>
    </row>
    <row r="157" spans="1:22" ht="25.5">
      <c r="A157" s="60" t="s">
        <v>379</v>
      </c>
      <c r="B157" s="21"/>
      <c r="C157" s="21"/>
      <c r="D157" s="61" t="s">
        <v>380</v>
      </c>
      <c r="E157" s="21"/>
      <c r="F157" s="21"/>
      <c r="G157" s="89"/>
      <c r="H157" s="89"/>
      <c r="I157" s="89"/>
      <c r="J157" s="91"/>
      <c r="K157" s="91"/>
      <c r="L157" s="92"/>
      <c r="M157" s="12"/>
      <c r="N157" s="92"/>
      <c r="O157" s="92"/>
      <c r="P157" s="93"/>
      <c r="Q157" s="92"/>
      <c r="R157" s="79"/>
      <c r="S157" s="94"/>
    </row>
    <row r="158" spans="1:22" ht="25.5">
      <c r="A158" s="64" t="s">
        <v>383</v>
      </c>
      <c r="B158" s="65" t="s">
        <v>384</v>
      </c>
      <c r="C158" s="65" t="s">
        <v>133</v>
      </c>
      <c r="D158" s="72" t="s">
        <v>385</v>
      </c>
      <c r="E158" s="65" t="s">
        <v>193</v>
      </c>
      <c r="F158" s="65">
        <v>2265</v>
      </c>
      <c r="G158" s="89"/>
      <c r="H158" s="89"/>
      <c r="I158" s="89"/>
      <c r="J158" s="68"/>
      <c r="K158" s="89"/>
      <c r="L158" s="90"/>
      <c r="M158" s="20"/>
      <c r="N158" s="90"/>
      <c r="O158" s="90"/>
      <c r="P158" s="70"/>
      <c r="Q158" s="68"/>
      <c r="R158" s="89"/>
      <c r="S158" s="71"/>
    </row>
    <row r="159" spans="1:22" ht="38.25">
      <c r="A159" s="64" t="s">
        <v>2158</v>
      </c>
      <c r="B159" s="65">
        <v>96114</v>
      </c>
      <c r="C159" s="65" t="s">
        <v>133</v>
      </c>
      <c r="D159" s="72" t="s">
        <v>382</v>
      </c>
      <c r="E159" s="65" t="s">
        <v>25</v>
      </c>
      <c r="F159" s="65">
        <v>3383.05</v>
      </c>
      <c r="G159" s="89"/>
      <c r="H159" s="68">
        <v>21</v>
      </c>
      <c r="I159" s="90"/>
      <c r="J159" s="68"/>
      <c r="K159" s="69">
        <v>422.8</v>
      </c>
      <c r="L159" s="90"/>
      <c r="M159" s="20">
        <f>129+10.7</f>
        <v>139.69999999999999</v>
      </c>
      <c r="N159" s="90"/>
      <c r="O159" s="90"/>
      <c r="P159" s="76" t="s">
        <v>1996</v>
      </c>
      <c r="Q159" s="76">
        <v>3383.05</v>
      </c>
      <c r="R159" s="89" t="s">
        <v>2159</v>
      </c>
      <c r="S159" s="95">
        <f>Q159-K159+M159</f>
        <v>3099.95</v>
      </c>
    </row>
    <row r="160" spans="1:22" ht="25.5">
      <c r="A160" s="64" t="s">
        <v>2160</v>
      </c>
      <c r="B160" s="65" t="s">
        <v>387</v>
      </c>
      <c r="C160" s="65" t="s">
        <v>200</v>
      </c>
      <c r="D160" s="72" t="s">
        <v>388</v>
      </c>
      <c r="E160" s="65" t="s">
        <v>25</v>
      </c>
      <c r="F160" s="65">
        <v>896.27</v>
      </c>
      <c r="G160" s="89"/>
      <c r="H160" s="68">
        <v>21</v>
      </c>
      <c r="I160" s="90"/>
      <c r="J160" s="69">
        <v>1129.98</v>
      </c>
      <c r="K160" s="89"/>
      <c r="L160" s="90"/>
      <c r="M160" s="20">
        <v>51.41</v>
      </c>
      <c r="N160" s="90"/>
      <c r="O160" s="90"/>
      <c r="P160" s="70" t="s">
        <v>1972</v>
      </c>
      <c r="Q160" s="68">
        <f>F160</f>
        <v>896.27</v>
      </c>
      <c r="R160" s="89" t="s">
        <v>2161</v>
      </c>
      <c r="S160" s="71">
        <f>F160+J160-K160+M160</f>
        <v>2077.66</v>
      </c>
    </row>
    <row r="161" spans="1:21">
      <c r="A161" s="60" t="s">
        <v>389</v>
      </c>
      <c r="B161" s="21"/>
      <c r="C161" s="21"/>
      <c r="D161" s="61" t="s">
        <v>317</v>
      </c>
      <c r="E161" s="21"/>
      <c r="F161" s="21"/>
      <c r="G161" s="89"/>
      <c r="H161" s="89"/>
      <c r="I161" s="89"/>
      <c r="J161" s="91"/>
      <c r="K161" s="91"/>
      <c r="L161" s="92"/>
      <c r="M161" s="12"/>
      <c r="N161" s="92"/>
      <c r="O161" s="92"/>
      <c r="P161" s="93"/>
      <c r="Q161" s="92"/>
      <c r="R161" s="91"/>
      <c r="S161" s="94"/>
    </row>
    <row r="162" spans="1:21">
      <c r="A162" s="60" t="s">
        <v>390</v>
      </c>
      <c r="B162" s="21"/>
      <c r="C162" s="21"/>
      <c r="D162" s="61" t="s">
        <v>391</v>
      </c>
      <c r="E162" s="21"/>
      <c r="F162" s="21"/>
      <c r="G162" s="89"/>
      <c r="H162" s="89"/>
      <c r="I162" s="89"/>
      <c r="J162" s="91"/>
      <c r="K162" s="91"/>
      <c r="L162" s="92"/>
      <c r="M162" s="12"/>
      <c r="N162" s="92"/>
      <c r="O162" s="92"/>
      <c r="P162" s="93"/>
      <c r="Q162" s="92"/>
      <c r="R162" s="91"/>
      <c r="S162" s="94"/>
    </row>
    <row r="163" spans="1:21">
      <c r="A163" s="60" t="s">
        <v>392</v>
      </c>
      <c r="B163" s="21"/>
      <c r="C163" s="21"/>
      <c r="D163" s="61" t="s">
        <v>376</v>
      </c>
      <c r="E163" s="21"/>
      <c r="F163" s="21"/>
      <c r="G163" s="89"/>
      <c r="H163" s="89"/>
      <c r="I163" s="89"/>
      <c r="J163" s="91"/>
      <c r="K163" s="91"/>
      <c r="L163" s="92"/>
      <c r="M163" s="12"/>
      <c r="N163" s="92"/>
      <c r="O163" s="92"/>
      <c r="P163" s="93"/>
      <c r="Q163" s="92"/>
      <c r="R163" s="91"/>
      <c r="S163" s="94"/>
    </row>
    <row r="164" spans="1:21">
      <c r="A164" s="60" t="s">
        <v>393</v>
      </c>
      <c r="B164" s="21"/>
      <c r="C164" s="21"/>
      <c r="D164" s="61" t="s">
        <v>394</v>
      </c>
      <c r="E164" s="21"/>
      <c r="F164" s="21"/>
      <c r="G164" s="89"/>
      <c r="H164" s="89"/>
      <c r="I164" s="89"/>
      <c r="J164" s="91"/>
      <c r="K164" s="91"/>
      <c r="L164" s="92"/>
      <c r="M164" s="12"/>
      <c r="N164" s="92"/>
      <c r="O164" s="92"/>
      <c r="P164" s="93"/>
      <c r="Q164" s="92"/>
      <c r="R164" s="91"/>
      <c r="S164" s="94"/>
    </row>
    <row r="165" spans="1:21" ht="25.5">
      <c r="A165" s="64" t="s">
        <v>395</v>
      </c>
      <c r="B165" s="65" t="s">
        <v>396</v>
      </c>
      <c r="C165" s="65" t="s">
        <v>23</v>
      </c>
      <c r="D165" s="72" t="s">
        <v>397</v>
      </c>
      <c r="E165" s="65" t="s">
        <v>107</v>
      </c>
      <c r="F165" s="65">
        <v>52.54</v>
      </c>
      <c r="G165" s="89"/>
      <c r="H165" s="89"/>
      <c r="I165" s="89"/>
      <c r="J165" s="68"/>
      <c r="K165" s="89"/>
      <c r="L165" s="90"/>
      <c r="M165" s="20"/>
      <c r="N165" s="90"/>
      <c r="O165" s="90"/>
      <c r="P165" s="76"/>
      <c r="Q165" s="90"/>
      <c r="R165" s="89"/>
      <c r="S165" s="95"/>
    </row>
    <row r="166" spans="1:21" ht="51">
      <c r="A166" s="96" t="s">
        <v>398</v>
      </c>
      <c r="B166" s="97" t="s">
        <v>399</v>
      </c>
      <c r="C166" s="97" t="s">
        <v>200</v>
      </c>
      <c r="D166" s="98" t="s">
        <v>400</v>
      </c>
      <c r="E166" s="97" t="s">
        <v>243</v>
      </c>
      <c r="F166" s="97">
        <v>864.79</v>
      </c>
      <c r="G166" s="89"/>
      <c r="H166" s="89"/>
      <c r="I166" s="89"/>
      <c r="J166" s="68"/>
      <c r="K166" s="89"/>
      <c r="L166" s="90"/>
      <c r="M166" s="20">
        <f>96.96+43+35.46+15.6</f>
        <v>191.01999999999998</v>
      </c>
      <c r="N166" s="90"/>
      <c r="O166" s="90"/>
      <c r="P166" s="70" t="s">
        <v>1972</v>
      </c>
      <c r="Q166" s="68">
        <f>F166</f>
        <v>864.79</v>
      </c>
      <c r="R166" s="89" t="s">
        <v>2162</v>
      </c>
      <c r="S166" s="71">
        <f>F166+J166-K166+M166</f>
        <v>1055.81</v>
      </c>
    </row>
    <row r="167" spans="1:21" ht="25.5">
      <c r="A167" s="60" t="s">
        <v>401</v>
      </c>
      <c r="B167" s="21"/>
      <c r="C167" s="21"/>
      <c r="D167" s="61" t="s">
        <v>380</v>
      </c>
      <c r="E167" s="21"/>
      <c r="F167" s="21"/>
      <c r="G167" s="89"/>
      <c r="H167" s="89"/>
      <c r="I167" s="89"/>
      <c r="J167" s="91"/>
      <c r="K167" s="91"/>
      <c r="L167" s="92"/>
      <c r="M167" s="12"/>
      <c r="N167" s="92"/>
      <c r="O167" s="92"/>
      <c r="P167" s="93"/>
      <c r="Q167" s="92"/>
      <c r="R167" s="91"/>
      <c r="S167" s="94"/>
    </row>
    <row r="168" spans="1:21" ht="38.25">
      <c r="A168" s="64" t="s">
        <v>402</v>
      </c>
      <c r="B168" s="65" t="s">
        <v>403</v>
      </c>
      <c r="C168" s="65" t="s">
        <v>23</v>
      </c>
      <c r="D168" s="72" t="s">
        <v>404</v>
      </c>
      <c r="E168" s="65" t="s">
        <v>25</v>
      </c>
      <c r="F168" s="65">
        <v>13252.88</v>
      </c>
      <c r="G168" s="89"/>
      <c r="H168" s="89"/>
      <c r="I168" s="89"/>
      <c r="J168" s="68"/>
      <c r="K168" s="89"/>
      <c r="L168" s="90"/>
      <c r="M168" s="20">
        <v>658.81</v>
      </c>
      <c r="N168" s="90"/>
      <c r="O168" s="90"/>
      <c r="P168" s="70" t="s">
        <v>1972</v>
      </c>
      <c r="Q168" s="68">
        <f>F168</f>
        <v>13252.88</v>
      </c>
      <c r="R168" s="89" t="s">
        <v>2511</v>
      </c>
      <c r="S168" s="71">
        <f>F168+J168-K168+M168</f>
        <v>13911.689999999999</v>
      </c>
    </row>
    <row r="169" spans="1:21" ht="38.25">
      <c r="A169" s="64" t="s">
        <v>405</v>
      </c>
      <c r="B169" s="65" t="s">
        <v>406</v>
      </c>
      <c r="C169" s="65" t="s">
        <v>23</v>
      </c>
      <c r="D169" s="72" t="s">
        <v>407</v>
      </c>
      <c r="E169" s="65" t="s">
        <v>25</v>
      </c>
      <c r="F169" s="65">
        <v>1479.94</v>
      </c>
      <c r="G169" s="89"/>
      <c r="H169" s="89"/>
      <c r="I169" s="89"/>
      <c r="J169" s="68">
        <v>11772.96</v>
      </c>
      <c r="K169" s="89"/>
      <c r="L169" s="90"/>
      <c r="M169" s="20">
        <v>658.81</v>
      </c>
      <c r="N169" s="90"/>
      <c r="O169" s="90"/>
      <c r="P169" s="70" t="s">
        <v>1972</v>
      </c>
      <c r="Q169" s="68">
        <f>F169</f>
        <v>1479.94</v>
      </c>
      <c r="R169" s="89" t="s">
        <v>2512</v>
      </c>
      <c r="S169" s="71">
        <f>F169+J169-K169+M169</f>
        <v>13911.71</v>
      </c>
      <c r="U169" s="75" t="s">
        <v>2163</v>
      </c>
    </row>
    <row r="170" spans="1:21">
      <c r="A170" s="60" t="s">
        <v>408</v>
      </c>
      <c r="B170" s="21"/>
      <c r="C170" s="21"/>
      <c r="D170" s="61" t="s">
        <v>409</v>
      </c>
      <c r="E170" s="21"/>
      <c r="F170" s="21"/>
      <c r="G170" s="89"/>
      <c r="H170" s="89"/>
      <c r="I170" s="89"/>
      <c r="J170" s="91"/>
      <c r="K170" s="91"/>
      <c r="L170" s="92"/>
      <c r="M170" s="12"/>
      <c r="N170" s="92"/>
      <c r="O170" s="92"/>
      <c r="P170" s="93"/>
      <c r="Q170" s="92"/>
      <c r="R170" s="91"/>
      <c r="S170" s="94"/>
    </row>
    <row r="171" spans="1:21">
      <c r="A171" s="60" t="s">
        <v>410</v>
      </c>
      <c r="B171" s="21"/>
      <c r="C171" s="21"/>
      <c r="D171" s="61" t="s">
        <v>411</v>
      </c>
      <c r="E171" s="21"/>
      <c r="F171" s="21"/>
      <c r="G171" s="89"/>
      <c r="H171" s="89"/>
      <c r="I171" s="89"/>
      <c r="J171" s="91"/>
      <c r="K171" s="91"/>
      <c r="L171" s="92"/>
      <c r="M171" s="12"/>
      <c r="N171" s="92"/>
      <c r="O171" s="92"/>
      <c r="P171" s="93"/>
      <c r="Q171" s="92"/>
      <c r="R171" s="91"/>
      <c r="S171" s="94"/>
    </row>
    <row r="172" spans="1:21" ht="38.25">
      <c r="A172" s="64" t="s">
        <v>412</v>
      </c>
      <c r="B172" s="65" t="s">
        <v>413</v>
      </c>
      <c r="C172" s="65" t="s">
        <v>23</v>
      </c>
      <c r="D172" s="72" t="s">
        <v>414</v>
      </c>
      <c r="E172" s="65" t="s">
        <v>25</v>
      </c>
      <c r="F172" s="65">
        <v>3320.23</v>
      </c>
      <c r="G172" s="89"/>
      <c r="H172" s="89"/>
      <c r="I172" s="89"/>
      <c r="J172" s="68">
        <v>1880.16</v>
      </c>
      <c r="K172" s="89"/>
      <c r="L172" s="90"/>
      <c r="M172" s="20">
        <v>730.32</v>
      </c>
      <c r="N172" s="90"/>
      <c r="O172" s="90"/>
      <c r="P172" s="70" t="s">
        <v>1972</v>
      </c>
      <c r="Q172" s="68">
        <f>F172</f>
        <v>3320.23</v>
      </c>
      <c r="R172" s="89" t="s">
        <v>2513</v>
      </c>
      <c r="S172" s="71">
        <f>F172+J172-K172+M172</f>
        <v>5930.71</v>
      </c>
      <c r="U172" s="75" t="s">
        <v>2164</v>
      </c>
    </row>
    <row r="173" spans="1:21" ht="25.5">
      <c r="A173" s="64" t="s">
        <v>415</v>
      </c>
      <c r="B173" s="65" t="s">
        <v>416</v>
      </c>
      <c r="C173" s="65" t="s">
        <v>23</v>
      </c>
      <c r="D173" s="72" t="s">
        <v>417</v>
      </c>
      <c r="E173" s="65" t="s">
        <v>25</v>
      </c>
      <c r="F173" s="65">
        <v>635.63</v>
      </c>
      <c r="G173" s="89"/>
      <c r="H173" s="89"/>
      <c r="I173" s="89"/>
      <c r="J173" s="69">
        <v>512.29</v>
      </c>
      <c r="K173" s="89"/>
      <c r="L173" s="90"/>
      <c r="M173" s="20">
        <v>763.32</v>
      </c>
      <c r="N173" s="90"/>
      <c r="O173" s="90"/>
      <c r="P173" s="70" t="s">
        <v>1972</v>
      </c>
      <c r="Q173" s="68">
        <f>F173</f>
        <v>635.63</v>
      </c>
      <c r="R173" s="89" t="s">
        <v>2514</v>
      </c>
      <c r="S173" s="71">
        <f>F173+J173-K173+M173</f>
        <v>1911.2400000000002</v>
      </c>
      <c r="U173" s="47" t="s">
        <v>2165</v>
      </c>
    </row>
    <row r="174" spans="1:21">
      <c r="A174" s="60" t="s">
        <v>418</v>
      </c>
      <c r="B174" s="21"/>
      <c r="C174" s="21"/>
      <c r="D174" s="61" t="s">
        <v>394</v>
      </c>
      <c r="E174" s="21"/>
      <c r="F174" s="21"/>
      <c r="G174" s="89"/>
      <c r="H174" s="89"/>
      <c r="I174" s="89"/>
      <c r="J174" s="91"/>
      <c r="K174" s="91"/>
      <c r="L174" s="92"/>
      <c r="M174" s="12"/>
      <c r="N174" s="92"/>
      <c r="O174" s="92"/>
      <c r="P174" s="93"/>
      <c r="Q174" s="92"/>
      <c r="R174" s="91"/>
      <c r="S174" s="94"/>
    </row>
    <row r="175" spans="1:21" ht="25.5">
      <c r="A175" s="64" t="s">
        <v>419</v>
      </c>
      <c r="B175" s="65" t="s">
        <v>420</v>
      </c>
      <c r="C175" s="65" t="s">
        <v>23</v>
      </c>
      <c r="D175" s="72" t="s">
        <v>421</v>
      </c>
      <c r="E175" s="65" t="s">
        <v>25</v>
      </c>
      <c r="F175" s="65">
        <v>76.540000000000006</v>
      </c>
      <c r="G175" s="89"/>
      <c r="H175" s="89"/>
      <c r="I175" s="89"/>
      <c r="J175" s="68"/>
      <c r="K175" s="89"/>
      <c r="L175" s="90"/>
      <c r="M175" s="20"/>
      <c r="N175" s="90"/>
      <c r="O175" s="90"/>
      <c r="P175" s="76"/>
      <c r="Q175" s="90"/>
      <c r="R175" s="89"/>
      <c r="S175" s="95"/>
    </row>
    <row r="176" spans="1:21" ht="63.75">
      <c r="A176" s="64" t="s">
        <v>422</v>
      </c>
      <c r="B176" s="65" t="s">
        <v>423</v>
      </c>
      <c r="C176" s="65" t="s">
        <v>23</v>
      </c>
      <c r="D176" s="72" t="s">
        <v>424</v>
      </c>
      <c r="E176" s="65" t="s">
        <v>25</v>
      </c>
      <c r="F176" s="65">
        <v>429.67</v>
      </c>
      <c r="G176" s="89"/>
      <c r="H176" s="89"/>
      <c r="I176" s="89"/>
      <c r="J176" s="68"/>
      <c r="K176" s="89"/>
      <c r="L176" s="90"/>
      <c r="M176" s="20"/>
      <c r="N176" s="90"/>
      <c r="O176" s="90"/>
      <c r="P176" s="76"/>
      <c r="Q176" s="90"/>
      <c r="R176" s="89"/>
      <c r="S176" s="95"/>
    </row>
    <row r="177" spans="1:21" ht="51">
      <c r="A177" s="64" t="s">
        <v>425</v>
      </c>
      <c r="B177" s="65" t="s">
        <v>426</v>
      </c>
      <c r="C177" s="65" t="s">
        <v>23</v>
      </c>
      <c r="D177" s="72" t="s">
        <v>427</v>
      </c>
      <c r="E177" s="65" t="s">
        <v>25</v>
      </c>
      <c r="F177" s="65">
        <v>330.42</v>
      </c>
      <c r="G177" s="89"/>
      <c r="H177" s="89"/>
      <c r="I177" s="89"/>
      <c r="J177" s="68"/>
      <c r="K177" s="89"/>
      <c r="L177" s="90"/>
      <c r="M177" s="20">
        <v>166.06</v>
      </c>
      <c r="N177" s="90"/>
      <c r="O177" s="90"/>
      <c r="P177" s="70" t="s">
        <v>1972</v>
      </c>
      <c r="Q177" s="68">
        <f>F177</f>
        <v>330.42</v>
      </c>
      <c r="R177" s="89" t="s">
        <v>2166</v>
      </c>
      <c r="S177" s="71">
        <f>F177+J177-K177+M177</f>
        <v>496.48</v>
      </c>
    </row>
    <row r="178" spans="1:21" ht="51">
      <c r="A178" s="64" t="s">
        <v>428</v>
      </c>
      <c r="B178" s="65" t="s">
        <v>429</v>
      </c>
      <c r="C178" s="65" t="s">
        <v>23</v>
      </c>
      <c r="D178" s="72" t="s">
        <v>430</v>
      </c>
      <c r="E178" s="65" t="s">
        <v>25</v>
      </c>
      <c r="F178" s="65">
        <v>50</v>
      </c>
      <c r="G178" s="89"/>
      <c r="H178" s="89"/>
      <c r="I178" s="89"/>
      <c r="J178" s="68"/>
      <c r="K178" s="89"/>
      <c r="L178" s="90"/>
      <c r="M178" s="20"/>
      <c r="N178" s="90"/>
      <c r="O178" s="90"/>
      <c r="P178" s="76"/>
      <c r="Q178" s="90"/>
      <c r="R178" s="89"/>
      <c r="S178" s="95"/>
    </row>
    <row r="179" spans="1:21" ht="38.25">
      <c r="A179" s="64" t="s">
        <v>431</v>
      </c>
      <c r="B179" s="65" t="s">
        <v>432</v>
      </c>
      <c r="C179" s="65" t="s">
        <v>200</v>
      </c>
      <c r="D179" s="72" t="s">
        <v>433</v>
      </c>
      <c r="E179" s="65" t="s">
        <v>243</v>
      </c>
      <c r="F179" s="65">
        <v>2700.17</v>
      </c>
      <c r="G179" s="89"/>
      <c r="H179" s="89"/>
      <c r="I179" s="89"/>
      <c r="J179" s="68">
        <v>1198.92</v>
      </c>
      <c r="K179" s="89"/>
      <c r="L179" s="90"/>
      <c r="M179" s="20"/>
      <c r="N179" s="90"/>
      <c r="O179" s="90"/>
      <c r="P179" s="76" t="s">
        <v>1996</v>
      </c>
      <c r="Q179" s="90">
        <v>2700.17</v>
      </c>
      <c r="R179" s="89" t="s">
        <v>2167</v>
      </c>
      <c r="S179" s="95">
        <f>(2700.17)+1198.92</f>
        <v>3899.09</v>
      </c>
      <c r="U179" s="75" t="s">
        <v>2168</v>
      </c>
    </row>
    <row r="180" spans="1:21" ht="51">
      <c r="A180" s="64" t="s">
        <v>434</v>
      </c>
      <c r="B180" s="65" t="s">
        <v>435</v>
      </c>
      <c r="C180" s="65" t="s">
        <v>200</v>
      </c>
      <c r="D180" s="72" t="s">
        <v>436</v>
      </c>
      <c r="E180" s="65" t="s">
        <v>243</v>
      </c>
      <c r="F180" s="65">
        <v>239.64</v>
      </c>
      <c r="G180" s="89"/>
      <c r="H180" s="89"/>
      <c r="I180" s="89"/>
      <c r="J180" s="68">
        <v>85.51</v>
      </c>
      <c r="K180" s="89"/>
      <c r="L180" s="90"/>
      <c r="M180" s="20">
        <v>105.32</v>
      </c>
      <c r="N180" s="90"/>
      <c r="O180" s="90"/>
      <c r="P180" s="70" t="s">
        <v>1972</v>
      </c>
      <c r="Q180" s="68">
        <f>F180</f>
        <v>239.64</v>
      </c>
      <c r="R180" s="89" t="s">
        <v>2169</v>
      </c>
      <c r="S180" s="71">
        <f>F180+J180-K180+M180</f>
        <v>430.46999999999997</v>
      </c>
    </row>
    <row r="181" spans="1:21" ht="25.5">
      <c r="A181" s="64" t="s">
        <v>437</v>
      </c>
      <c r="B181" s="65" t="s">
        <v>438</v>
      </c>
      <c r="C181" s="65" t="s">
        <v>200</v>
      </c>
      <c r="D181" s="72" t="s">
        <v>439</v>
      </c>
      <c r="E181" s="65" t="s">
        <v>25</v>
      </c>
      <c r="F181" s="65">
        <v>139.72999999999999</v>
      </c>
      <c r="G181" s="89"/>
      <c r="H181" s="89"/>
      <c r="I181" s="89"/>
      <c r="J181" s="68"/>
      <c r="K181" s="89"/>
      <c r="L181" s="90"/>
      <c r="M181" s="20"/>
      <c r="N181" s="90"/>
      <c r="O181" s="90"/>
      <c r="P181" s="76"/>
      <c r="Q181" s="90"/>
      <c r="R181" s="89"/>
      <c r="S181" s="95"/>
    </row>
    <row r="182" spans="1:21" ht="25.5">
      <c r="A182" s="64" t="s">
        <v>440</v>
      </c>
      <c r="B182" s="65" t="s">
        <v>441</v>
      </c>
      <c r="C182" s="65" t="s">
        <v>133</v>
      </c>
      <c r="D182" s="72" t="s">
        <v>442</v>
      </c>
      <c r="E182" s="65" t="s">
        <v>25</v>
      </c>
      <c r="F182" s="65">
        <v>378.6</v>
      </c>
      <c r="G182" s="89"/>
      <c r="H182" s="89"/>
      <c r="I182" s="89"/>
      <c r="J182" s="68">
        <v>22</v>
      </c>
      <c r="K182" s="89"/>
      <c r="L182" s="90"/>
      <c r="M182" s="20"/>
      <c r="N182" s="90"/>
      <c r="O182" s="90"/>
      <c r="P182" s="76" t="s">
        <v>1996</v>
      </c>
      <c r="Q182" s="90">
        <v>378.6</v>
      </c>
      <c r="R182" s="89" t="s">
        <v>2170</v>
      </c>
      <c r="S182" s="95">
        <f>378.6+22</f>
        <v>400.6</v>
      </c>
      <c r="U182" s="47" t="s">
        <v>2171</v>
      </c>
    </row>
    <row r="183" spans="1:21">
      <c r="A183" s="60" t="s">
        <v>443</v>
      </c>
      <c r="B183" s="21"/>
      <c r="C183" s="21"/>
      <c r="D183" s="61" t="s">
        <v>444</v>
      </c>
      <c r="E183" s="21"/>
      <c r="F183" s="21"/>
      <c r="G183" s="89"/>
      <c r="H183" s="89"/>
      <c r="I183" s="89"/>
      <c r="J183" s="91"/>
      <c r="K183" s="91"/>
      <c r="L183" s="92"/>
      <c r="M183" s="12"/>
      <c r="N183" s="92"/>
      <c r="O183" s="92"/>
      <c r="P183" s="93"/>
      <c r="Q183" s="92"/>
      <c r="R183" s="91"/>
      <c r="S183" s="94"/>
    </row>
    <row r="184" spans="1:21" ht="15">
      <c r="A184" s="64" t="s">
        <v>445</v>
      </c>
      <c r="B184" s="65" t="s">
        <v>2172</v>
      </c>
      <c r="C184" s="65" t="s">
        <v>23</v>
      </c>
      <c r="D184" s="72" t="s">
        <v>446</v>
      </c>
      <c r="E184" s="65" t="s">
        <v>107</v>
      </c>
      <c r="F184" s="65">
        <v>28.16</v>
      </c>
      <c r="G184" s="89"/>
      <c r="H184" s="89"/>
      <c r="I184" s="89"/>
      <c r="J184" s="68">
        <v>148.30000000000001</v>
      </c>
      <c r="K184" s="89"/>
      <c r="L184" s="90"/>
      <c r="M184" s="20"/>
      <c r="N184" s="90"/>
      <c r="O184" s="90"/>
      <c r="P184" s="76" t="s">
        <v>1996</v>
      </c>
      <c r="Q184" s="69">
        <v>28.16</v>
      </c>
      <c r="R184" s="89" t="s">
        <v>2173</v>
      </c>
      <c r="S184" s="95">
        <f>(28.16)+(148.3 )</f>
        <v>176.46</v>
      </c>
    </row>
    <row r="185" spans="1:21" ht="15">
      <c r="A185" s="64" t="s">
        <v>447</v>
      </c>
      <c r="B185" s="65" t="s">
        <v>448</v>
      </c>
      <c r="C185" s="65" t="s">
        <v>23</v>
      </c>
      <c r="D185" s="72" t="s">
        <v>449</v>
      </c>
      <c r="E185" s="65" t="s">
        <v>107</v>
      </c>
      <c r="F185" s="65">
        <v>329.99</v>
      </c>
      <c r="G185" s="89"/>
      <c r="H185" s="89"/>
      <c r="I185" s="89"/>
      <c r="J185" s="68"/>
      <c r="K185" s="89"/>
      <c r="L185" s="90"/>
      <c r="M185" s="20">
        <f>16.2+26.28</f>
        <v>42.480000000000004</v>
      </c>
      <c r="N185" s="90"/>
      <c r="O185" s="90"/>
      <c r="P185" s="70" t="s">
        <v>1972</v>
      </c>
      <c r="Q185" s="68">
        <f>F185</f>
        <v>329.99</v>
      </c>
      <c r="R185" s="89" t="s">
        <v>2174</v>
      </c>
      <c r="S185" s="71">
        <f>F185+J185-K185+M185</f>
        <v>372.47</v>
      </c>
    </row>
    <row r="186" spans="1:21" ht="38.25">
      <c r="A186" s="64" t="s">
        <v>450</v>
      </c>
      <c r="B186" s="65" t="s">
        <v>451</v>
      </c>
      <c r="C186" s="65" t="s">
        <v>23</v>
      </c>
      <c r="D186" s="72" t="s">
        <v>452</v>
      </c>
      <c r="E186" s="65" t="s">
        <v>107</v>
      </c>
      <c r="F186" s="65">
        <v>2074.79</v>
      </c>
      <c r="G186" s="89"/>
      <c r="H186" s="89"/>
      <c r="I186" s="89"/>
      <c r="J186" s="68">
        <v>571.64</v>
      </c>
      <c r="K186" s="89"/>
      <c r="L186" s="90"/>
      <c r="M186" s="20">
        <f>75.5+69</f>
        <v>144.5</v>
      </c>
      <c r="N186" s="90"/>
      <c r="O186" s="90"/>
      <c r="P186" s="70" t="s">
        <v>1972</v>
      </c>
      <c r="Q186" s="68">
        <f>F186</f>
        <v>2074.79</v>
      </c>
      <c r="R186" s="89" t="s">
        <v>2175</v>
      </c>
      <c r="S186" s="71">
        <f>F186+J186-K186+M186</f>
        <v>2790.93</v>
      </c>
      <c r="U186" s="75" t="s">
        <v>2176</v>
      </c>
    </row>
    <row r="187" spans="1:21" ht="38.25">
      <c r="A187" s="64" t="s">
        <v>453</v>
      </c>
      <c r="B187" s="65" t="s">
        <v>454</v>
      </c>
      <c r="C187" s="65" t="s">
        <v>23</v>
      </c>
      <c r="D187" s="72" t="s">
        <v>455</v>
      </c>
      <c r="E187" s="65" t="s">
        <v>107</v>
      </c>
      <c r="F187" s="65">
        <v>8.5</v>
      </c>
      <c r="G187" s="89"/>
      <c r="H187" s="89"/>
      <c r="I187" s="89"/>
      <c r="J187" s="68"/>
      <c r="K187" s="89"/>
      <c r="L187" s="90"/>
      <c r="M187" s="20"/>
      <c r="N187" s="90"/>
      <c r="O187" s="90"/>
      <c r="P187" s="76"/>
      <c r="Q187" s="90"/>
      <c r="R187" s="89"/>
      <c r="S187" s="95"/>
    </row>
    <row r="188" spans="1:21" ht="25.5">
      <c r="A188" s="64" t="s">
        <v>456</v>
      </c>
      <c r="B188" s="65" t="s">
        <v>457</v>
      </c>
      <c r="C188" s="65" t="s">
        <v>133</v>
      </c>
      <c r="D188" s="72" t="s">
        <v>458</v>
      </c>
      <c r="E188" s="65" t="s">
        <v>25</v>
      </c>
      <c r="F188" s="65">
        <v>152.96</v>
      </c>
      <c r="G188" s="89"/>
      <c r="H188" s="89"/>
      <c r="I188" s="89"/>
      <c r="J188" s="68">
        <v>7.2299999999999898</v>
      </c>
      <c r="K188" s="89"/>
      <c r="L188" s="90"/>
      <c r="M188" s="20"/>
      <c r="N188" s="90"/>
      <c r="O188" s="90"/>
      <c r="P188" s="76" t="s">
        <v>1996</v>
      </c>
      <c r="Q188" s="90">
        <f>F188</f>
        <v>152.96</v>
      </c>
      <c r="R188" s="89" t="s">
        <v>2177</v>
      </c>
      <c r="S188" s="95">
        <f>7.23+152.96</f>
        <v>160.19</v>
      </c>
    </row>
    <row r="189" spans="1:21">
      <c r="A189" s="60" t="s">
        <v>459</v>
      </c>
      <c r="B189" s="21"/>
      <c r="C189" s="21"/>
      <c r="D189" s="61" t="s">
        <v>317</v>
      </c>
      <c r="E189" s="21"/>
      <c r="F189" s="21"/>
      <c r="G189" s="89"/>
      <c r="H189" s="89"/>
      <c r="I189" s="89"/>
      <c r="J189" s="91"/>
      <c r="K189" s="91"/>
      <c r="L189" s="92"/>
      <c r="M189" s="12"/>
      <c r="N189" s="92"/>
      <c r="O189" s="92"/>
      <c r="P189" s="93"/>
      <c r="Q189" s="92"/>
      <c r="R189" s="91"/>
      <c r="S189" s="94"/>
    </row>
    <row r="190" spans="1:21">
      <c r="A190" s="60" t="s">
        <v>460</v>
      </c>
      <c r="B190" s="21"/>
      <c r="C190" s="21"/>
      <c r="D190" s="61" t="s">
        <v>461</v>
      </c>
      <c r="E190" s="21"/>
      <c r="F190" s="21"/>
      <c r="G190" s="89"/>
      <c r="H190" s="89"/>
      <c r="I190" s="89"/>
      <c r="J190" s="91"/>
      <c r="K190" s="91"/>
      <c r="L190" s="92"/>
      <c r="M190" s="12"/>
      <c r="N190" s="92"/>
      <c r="O190" s="92"/>
      <c r="P190" s="93"/>
      <c r="Q190" s="92"/>
      <c r="R190" s="91"/>
      <c r="S190" s="94"/>
    </row>
    <row r="191" spans="1:21">
      <c r="A191" s="60" t="s">
        <v>460</v>
      </c>
      <c r="B191" s="21"/>
      <c r="C191" s="21"/>
      <c r="D191" s="61" t="s">
        <v>462</v>
      </c>
      <c r="E191" s="21"/>
      <c r="F191" s="21"/>
      <c r="G191" s="89"/>
      <c r="H191" s="89"/>
      <c r="I191" s="89"/>
      <c r="J191" s="91"/>
      <c r="K191" s="91"/>
      <c r="L191" s="92"/>
      <c r="M191" s="12"/>
      <c r="N191" s="92"/>
      <c r="O191" s="92"/>
      <c r="P191" s="93"/>
      <c r="Q191" s="92"/>
      <c r="R191" s="91"/>
      <c r="S191" s="94"/>
    </row>
    <row r="192" spans="1:21" ht="25.5">
      <c r="A192" s="64" t="s">
        <v>463</v>
      </c>
      <c r="B192" s="65" t="s">
        <v>464</v>
      </c>
      <c r="C192" s="65" t="s">
        <v>23</v>
      </c>
      <c r="D192" s="72" t="s">
        <v>465</v>
      </c>
      <c r="E192" s="65" t="s">
        <v>107</v>
      </c>
      <c r="F192" s="65">
        <v>512</v>
      </c>
      <c r="G192" s="89"/>
      <c r="H192" s="89"/>
      <c r="I192" s="89"/>
      <c r="J192" s="68">
        <v>76.849999999999994</v>
      </c>
      <c r="K192" s="89"/>
      <c r="L192" s="90"/>
      <c r="M192" s="20"/>
      <c r="N192" s="90"/>
      <c r="O192" s="90"/>
      <c r="P192" s="76" t="s">
        <v>1996</v>
      </c>
      <c r="Q192" s="90">
        <v>512</v>
      </c>
      <c r="R192" s="89" t="s">
        <v>2178</v>
      </c>
      <c r="S192" s="95">
        <f>(512)+(76.85)</f>
        <v>588.85</v>
      </c>
      <c r="U192" s="75" t="s">
        <v>2179</v>
      </c>
    </row>
    <row r="193" spans="1:19" ht="25.5">
      <c r="A193" s="64" t="s">
        <v>466</v>
      </c>
      <c r="B193" s="65" t="s">
        <v>467</v>
      </c>
      <c r="C193" s="65" t="s">
        <v>23</v>
      </c>
      <c r="D193" s="72" t="s">
        <v>468</v>
      </c>
      <c r="E193" s="65" t="s">
        <v>107</v>
      </c>
      <c r="F193" s="65">
        <v>120</v>
      </c>
      <c r="G193" s="89"/>
      <c r="H193" s="89"/>
      <c r="I193" s="89"/>
      <c r="J193" s="68"/>
      <c r="K193" s="89"/>
      <c r="L193" s="90"/>
      <c r="M193" s="20"/>
      <c r="N193" s="90"/>
      <c r="O193" s="90"/>
      <c r="P193" s="76"/>
      <c r="Q193" s="90"/>
      <c r="R193" s="89"/>
      <c r="S193" s="95"/>
    </row>
    <row r="194" spans="1:19" ht="25.5">
      <c r="A194" s="64" t="s">
        <v>469</v>
      </c>
      <c r="B194" s="65" t="s">
        <v>470</v>
      </c>
      <c r="C194" s="65" t="s">
        <v>23</v>
      </c>
      <c r="D194" s="72" t="s">
        <v>471</v>
      </c>
      <c r="E194" s="65" t="s">
        <v>107</v>
      </c>
      <c r="F194" s="65">
        <v>165</v>
      </c>
      <c r="G194" s="89"/>
      <c r="H194" s="89"/>
      <c r="I194" s="89"/>
      <c r="J194" s="68"/>
      <c r="K194" s="89"/>
      <c r="L194" s="90"/>
      <c r="M194" s="20"/>
      <c r="N194" s="90"/>
      <c r="O194" s="90"/>
      <c r="P194" s="76"/>
      <c r="Q194" s="90"/>
      <c r="R194" s="89"/>
      <c r="S194" s="95"/>
    </row>
    <row r="195" spans="1:19" ht="25.5">
      <c r="A195" s="64" t="s">
        <v>472</v>
      </c>
      <c r="B195" s="65" t="s">
        <v>473</v>
      </c>
      <c r="C195" s="65" t="s">
        <v>23</v>
      </c>
      <c r="D195" s="72" t="s">
        <v>474</v>
      </c>
      <c r="E195" s="65" t="s">
        <v>107</v>
      </c>
      <c r="F195" s="65">
        <v>144</v>
      </c>
      <c r="G195" s="89"/>
      <c r="H195" s="89"/>
      <c r="I195" s="89"/>
      <c r="J195" s="68"/>
      <c r="K195" s="89"/>
      <c r="L195" s="90"/>
      <c r="M195" s="20"/>
      <c r="N195" s="90"/>
      <c r="O195" s="90"/>
      <c r="P195" s="76"/>
      <c r="Q195" s="90"/>
      <c r="R195" s="89"/>
      <c r="S195" s="95"/>
    </row>
    <row r="196" spans="1:19" ht="38.25">
      <c r="A196" s="64" t="s">
        <v>475</v>
      </c>
      <c r="B196" s="65" t="s">
        <v>476</v>
      </c>
      <c r="C196" s="65" t="s">
        <v>133</v>
      </c>
      <c r="D196" s="72" t="s">
        <v>477</v>
      </c>
      <c r="E196" s="65" t="s">
        <v>193</v>
      </c>
      <c r="F196" s="65">
        <v>1</v>
      </c>
      <c r="G196" s="89"/>
      <c r="H196" s="89"/>
      <c r="I196" s="89"/>
      <c r="J196" s="68"/>
      <c r="K196" s="89"/>
      <c r="L196" s="90"/>
      <c r="M196" s="20"/>
      <c r="N196" s="90"/>
      <c r="O196" s="90"/>
      <c r="P196" s="76"/>
      <c r="Q196" s="90"/>
      <c r="R196" s="89"/>
      <c r="S196" s="95"/>
    </row>
    <row r="197" spans="1:19" ht="51">
      <c r="A197" s="64" t="s">
        <v>478</v>
      </c>
      <c r="B197" s="65" t="s">
        <v>479</v>
      </c>
      <c r="C197" s="65" t="s">
        <v>133</v>
      </c>
      <c r="D197" s="72" t="s">
        <v>480</v>
      </c>
      <c r="E197" s="65" t="s">
        <v>253</v>
      </c>
      <c r="F197" s="65">
        <v>82</v>
      </c>
      <c r="G197" s="89"/>
      <c r="H197" s="89"/>
      <c r="I197" s="89"/>
      <c r="J197" s="68"/>
      <c r="K197" s="89"/>
      <c r="L197" s="90"/>
      <c r="M197" s="20"/>
      <c r="N197" s="90"/>
      <c r="O197" s="90"/>
      <c r="P197" s="76"/>
      <c r="Q197" s="90"/>
      <c r="R197" s="89"/>
      <c r="S197" s="95"/>
    </row>
    <row r="198" spans="1:19" ht="51">
      <c r="A198" s="64" t="s">
        <v>481</v>
      </c>
      <c r="B198" s="65" t="s">
        <v>482</v>
      </c>
      <c r="C198" s="65" t="s">
        <v>133</v>
      </c>
      <c r="D198" s="72" t="s">
        <v>483</v>
      </c>
      <c r="E198" s="65" t="s">
        <v>253</v>
      </c>
      <c r="F198" s="65">
        <v>12</v>
      </c>
      <c r="G198" s="89"/>
      <c r="H198" s="89"/>
      <c r="I198" s="89"/>
      <c r="J198" s="68"/>
      <c r="K198" s="89"/>
      <c r="L198" s="90"/>
      <c r="M198" s="20"/>
      <c r="N198" s="90"/>
      <c r="O198" s="90"/>
      <c r="P198" s="76"/>
      <c r="Q198" s="90"/>
      <c r="R198" s="89"/>
      <c r="S198" s="95"/>
    </row>
    <row r="199" spans="1:19" ht="51">
      <c r="A199" s="64" t="s">
        <v>484</v>
      </c>
      <c r="B199" s="65" t="s">
        <v>485</v>
      </c>
      <c r="C199" s="65" t="s">
        <v>133</v>
      </c>
      <c r="D199" s="72" t="s">
        <v>486</v>
      </c>
      <c r="E199" s="65" t="s">
        <v>253</v>
      </c>
      <c r="F199" s="65">
        <v>6</v>
      </c>
      <c r="G199" s="89"/>
      <c r="H199" s="89"/>
      <c r="I199" s="89"/>
      <c r="J199" s="68"/>
      <c r="K199" s="89"/>
      <c r="L199" s="90"/>
      <c r="M199" s="20"/>
      <c r="N199" s="90"/>
      <c r="O199" s="90"/>
      <c r="P199" s="76"/>
      <c r="Q199" s="90"/>
      <c r="R199" s="89"/>
      <c r="S199" s="95"/>
    </row>
    <row r="200" spans="1:19" ht="51">
      <c r="A200" s="64" t="s">
        <v>487</v>
      </c>
      <c r="B200" s="65" t="s">
        <v>488</v>
      </c>
      <c r="C200" s="65" t="s">
        <v>133</v>
      </c>
      <c r="D200" s="72" t="s">
        <v>489</v>
      </c>
      <c r="E200" s="65" t="s">
        <v>253</v>
      </c>
      <c r="F200" s="65">
        <v>16</v>
      </c>
      <c r="G200" s="89"/>
      <c r="H200" s="89"/>
      <c r="I200" s="89"/>
      <c r="J200" s="68"/>
      <c r="K200" s="89"/>
      <c r="L200" s="90"/>
      <c r="M200" s="20"/>
      <c r="N200" s="90"/>
      <c r="O200" s="90"/>
      <c r="P200" s="76"/>
      <c r="Q200" s="90"/>
      <c r="R200" s="89"/>
      <c r="S200" s="95"/>
    </row>
    <row r="201" spans="1:19" ht="25.5">
      <c r="A201" s="64" t="s">
        <v>490</v>
      </c>
      <c r="B201" s="65" t="s">
        <v>491</v>
      </c>
      <c r="C201" s="65" t="s">
        <v>23</v>
      </c>
      <c r="D201" s="72" t="s">
        <v>492</v>
      </c>
      <c r="E201" s="65" t="s">
        <v>48</v>
      </c>
      <c r="F201" s="65">
        <v>5</v>
      </c>
      <c r="G201" s="89"/>
      <c r="H201" s="89"/>
      <c r="I201" s="89"/>
      <c r="J201" s="68"/>
      <c r="K201" s="89"/>
      <c r="L201" s="90"/>
      <c r="M201" s="20"/>
      <c r="N201" s="90"/>
      <c r="O201" s="90"/>
      <c r="P201" s="76"/>
      <c r="Q201" s="90"/>
      <c r="R201" s="89"/>
      <c r="S201" s="95"/>
    </row>
    <row r="202" spans="1:19" ht="25.5">
      <c r="A202" s="64" t="s">
        <v>493</v>
      </c>
      <c r="B202" s="65" t="s">
        <v>494</v>
      </c>
      <c r="C202" s="65" t="s">
        <v>23</v>
      </c>
      <c r="D202" s="72" t="s">
        <v>495</v>
      </c>
      <c r="E202" s="65" t="s">
        <v>48</v>
      </c>
      <c r="F202" s="65">
        <v>11</v>
      </c>
      <c r="G202" s="89"/>
      <c r="H202" s="89"/>
      <c r="I202" s="89"/>
      <c r="J202" s="68"/>
      <c r="K202" s="89"/>
      <c r="L202" s="90"/>
      <c r="M202" s="20"/>
      <c r="N202" s="90"/>
      <c r="O202" s="90"/>
      <c r="P202" s="76"/>
      <c r="Q202" s="90"/>
      <c r="R202" s="89"/>
      <c r="S202" s="95"/>
    </row>
    <row r="203" spans="1:19" ht="25.5">
      <c r="A203" s="64" t="s">
        <v>496</v>
      </c>
      <c r="B203" s="65" t="s">
        <v>497</v>
      </c>
      <c r="C203" s="65" t="s">
        <v>23</v>
      </c>
      <c r="D203" s="72" t="s">
        <v>498</v>
      </c>
      <c r="E203" s="65" t="s">
        <v>48</v>
      </c>
      <c r="F203" s="65">
        <v>2</v>
      </c>
      <c r="G203" s="89"/>
      <c r="H203" s="89"/>
      <c r="I203" s="89"/>
      <c r="J203" s="68"/>
      <c r="K203" s="89"/>
      <c r="L203" s="90"/>
      <c r="M203" s="20"/>
      <c r="N203" s="90"/>
      <c r="O203" s="90"/>
      <c r="P203" s="76"/>
      <c r="Q203" s="90"/>
      <c r="R203" s="89"/>
      <c r="S203" s="95"/>
    </row>
    <row r="204" spans="1:19" ht="15">
      <c r="A204" s="64" t="s">
        <v>499</v>
      </c>
      <c r="B204" s="65" t="s">
        <v>500</v>
      </c>
      <c r="C204" s="65" t="s">
        <v>23</v>
      </c>
      <c r="D204" s="72" t="s">
        <v>501</v>
      </c>
      <c r="E204" s="65" t="s">
        <v>48</v>
      </c>
      <c r="F204" s="65">
        <v>1</v>
      </c>
      <c r="G204" s="89"/>
      <c r="H204" s="89"/>
      <c r="I204" s="89"/>
      <c r="J204" s="68"/>
      <c r="K204" s="89"/>
      <c r="L204" s="90"/>
      <c r="M204" s="20"/>
      <c r="N204" s="90"/>
      <c r="O204" s="90"/>
      <c r="P204" s="76"/>
      <c r="Q204" s="90"/>
      <c r="R204" s="89"/>
      <c r="S204" s="95"/>
    </row>
    <row r="205" spans="1:19" ht="51">
      <c r="A205" s="64" t="s">
        <v>502</v>
      </c>
      <c r="B205" s="65" t="s">
        <v>503</v>
      </c>
      <c r="C205" s="65" t="s">
        <v>133</v>
      </c>
      <c r="D205" s="72" t="s">
        <v>504</v>
      </c>
      <c r="E205" s="65" t="s">
        <v>253</v>
      </c>
      <c r="F205" s="65">
        <v>13</v>
      </c>
      <c r="G205" s="89"/>
      <c r="H205" s="89"/>
      <c r="I205" s="89"/>
      <c r="J205" s="68"/>
      <c r="K205" s="89"/>
      <c r="L205" s="90"/>
      <c r="M205" s="20"/>
      <c r="N205" s="90"/>
      <c r="O205" s="90"/>
      <c r="P205" s="76"/>
      <c r="Q205" s="90"/>
      <c r="R205" s="89"/>
      <c r="S205" s="95"/>
    </row>
    <row r="206" spans="1:19" ht="63.75">
      <c r="A206" s="64" t="s">
        <v>505</v>
      </c>
      <c r="B206" s="65" t="s">
        <v>506</v>
      </c>
      <c r="C206" s="65" t="s">
        <v>133</v>
      </c>
      <c r="D206" s="72" t="s">
        <v>507</v>
      </c>
      <c r="E206" s="65" t="s">
        <v>253</v>
      </c>
      <c r="F206" s="65">
        <v>1</v>
      </c>
      <c r="G206" s="89"/>
      <c r="H206" s="89"/>
      <c r="I206" s="89"/>
      <c r="J206" s="68"/>
      <c r="K206" s="89"/>
      <c r="L206" s="90"/>
      <c r="M206" s="20"/>
      <c r="N206" s="90"/>
      <c r="O206" s="90"/>
      <c r="P206" s="76"/>
      <c r="Q206" s="90"/>
      <c r="R206" s="89"/>
      <c r="S206" s="95"/>
    </row>
    <row r="207" spans="1:19" ht="51">
      <c r="A207" s="64" t="s">
        <v>508</v>
      </c>
      <c r="B207" s="65" t="s">
        <v>509</v>
      </c>
      <c r="C207" s="65" t="s">
        <v>133</v>
      </c>
      <c r="D207" s="72" t="s">
        <v>510</v>
      </c>
      <c r="E207" s="65" t="s">
        <v>253</v>
      </c>
      <c r="F207" s="65">
        <v>5</v>
      </c>
      <c r="G207" s="89"/>
      <c r="H207" s="89"/>
      <c r="I207" s="89"/>
      <c r="J207" s="68"/>
      <c r="K207" s="89"/>
      <c r="L207" s="90"/>
      <c r="M207" s="20"/>
      <c r="N207" s="90"/>
      <c r="O207" s="90"/>
      <c r="P207" s="76"/>
      <c r="Q207" s="90"/>
      <c r="R207" s="89"/>
      <c r="S207" s="95"/>
    </row>
    <row r="208" spans="1:19" ht="51">
      <c r="A208" s="64" t="s">
        <v>511</v>
      </c>
      <c r="B208" s="65" t="s">
        <v>509</v>
      </c>
      <c r="C208" s="65" t="s">
        <v>133</v>
      </c>
      <c r="D208" s="72" t="s">
        <v>510</v>
      </c>
      <c r="E208" s="65" t="s">
        <v>253</v>
      </c>
      <c r="F208" s="65">
        <v>15</v>
      </c>
      <c r="G208" s="89"/>
      <c r="H208" s="89"/>
      <c r="I208" s="89"/>
      <c r="J208" s="68"/>
      <c r="K208" s="89"/>
      <c r="L208" s="90"/>
      <c r="M208" s="20"/>
      <c r="N208" s="90"/>
      <c r="O208" s="90"/>
      <c r="P208" s="76"/>
      <c r="Q208" s="90"/>
      <c r="R208" s="89"/>
      <c r="S208" s="95"/>
    </row>
    <row r="209" spans="1:19" ht="51">
      <c r="A209" s="64" t="s">
        <v>512</v>
      </c>
      <c r="B209" s="65" t="s">
        <v>513</v>
      </c>
      <c r="C209" s="65" t="s">
        <v>23</v>
      </c>
      <c r="D209" s="72" t="s">
        <v>514</v>
      </c>
      <c r="E209" s="65" t="s">
        <v>48</v>
      </c>
      <c r="F209" s="65">
        <v>13</v>
      </c>
      <c r="G209" s="89"/>
      <c r="H209" s="89"/>
      <c r="I209" s="89"/>
      <c r="J209" s="68"/>
      <c r="K209" s="89"/>
      <c r="L209" s="90"/>
      <c r="M209" s="20"/>
      <c r="N209" s="90"/>
      <c r="O209" s="90"/>
      <c r="P209" s="76"/>
      <c r="Q209" s="90"/>
      <c r="R209" s="89"/>
      <c r="S209" s="95"/>
    </row>
    <row r="210" spans="1:19" ht="63.75">
      <c r="A210" s="64" t="s">
        <v>515</v>
      </c>
      <c r="B210" s="65" t="s">
        <v>516</v>
      </c>
      <c r="C210" s="65" t="s">
        <v>23</v>
      </c>
      <c r="D210" s="72" t="s">
        <v>517</v>
      </c>
      <c r="E210" s="65" t="s">
        <v>48</v>
      </c>
      <c r="F210" s="65">
        <v>3</v>
      </c>
      <c r="G210" s="89"/>
      <c r="H210" s="89"/>
      <c r="I210" s="89"/>
      <c r="J210" s="68"/>
      <c r="K210" s="89"/>
      <c r="L210" s="90"/>
      <c r="M210" s="20"/>
      <c r="N210" s="90"/>
      <c r="O210" s="90"/>
      <c r="P210" s="76"/>
      <c r="Q210" s="90"/>
      <c r="R210" s="89"/>
      <c r="S210" s="95"/>
    </row>
    <row r="211" spans="1:19" ht="63.75">
      <c r="A211" s="64" t="s">
        <v>518</v>
      </c>
      <c r="B211" s="65" t="s">
        <v>519</v>
      </c>
      <c r="C211" s="65" t="s">
        <v>23</v>
      </c>
      <c r="D211" s="72" t="s">
        <v>520</v>
      </c>
      <c r="E211" s="65" t="s">
        <v>48</v>
      </c>
      <c r="F211" s="65">
        <v>17</v>
      </c>
      <c r="G211" s="89"/>
      <c r="H211" s="89"/>
      <c r="I211" s="89"/>
      <c r="J211" s="68"/>
      <c r="K211" s="89"/>
      <c r="L211" s="90"/>
      <c r="M211" s="20"/>
      <c r="N211" s="90"/>
      <c r="O211" s="90"/>
      <c r="P211" s="76"/>
      <c r="Q211" s="90"/>
      <c r="R211" s="89"/>
      <c r="S211" s="95"/>
    </row>
    <row r="212" spans="1:19" ht="76.5">
      <c r="A212" s="64" t="s">
        <v>521</v>
      </c>
      <c r="B212" s="65" t="s">
        <v>522</v>
      </c>
      <c r="C212" s="65" t="s">
        <v>133</v>
      </c>
      <c r="D212" s="72" t="s">
        <v>523</v>
      </c>
      <c r="E212" s="65" t="s">
        <v>253</v>
      </c>
      <c r="F212" s="65">
        <v>2</v>
      </c>
      <c r="G212" s="89"/>
      <c r="H212" s="89"/>
      <c r="I212" s="89"/>
      <c r="J212" s="68"/>
      <c r="K212" s="89"/>
      <c r="L212" s="90"/>
      <c r="M212" s="20"/>
      <c r="N212" s="90"/>
      <c r="O212" s="90"/>
      <c r="P212" s="76"/>
      <c r="Q212" s="90"/>
      <c r="R212" s="89"/>
      <c r="S212" s="95"/>
    </row>
    <row r="213" spans="1:19" ht="76.5">
      <c r="A213" s="64" t="s">
        <v>524</v>
      </c>
      <c r="B213" s="65" t="s">
        <v>525</v>
      </c>
      <c r="C213" s="65" t="s">
        <v>200</v>
      </c>
      <c r="D213" s="72" t="s">
        <v>526</v>
      </c>
      <c r="E213" s="65" t="s">
        <v>253</v>
      </c>
      <c r="F213" s="65">
        <v>3</v>
      </c>
      <c r="G213" s="89"/>
      <c r="H213" s="89"/>
      <c r="I213" s="89"/>
      <c r="J213" s="68"/>
      <c r="K213" s="89"/>
      <c r="L213" s="90"/>
      <c r="M213" s="20"/>
      <c r="N213" s="90"/>
      <c r="O213" s="90"/>
      <c r="P213" s="76"/>
      <c r="Q213" s="90"/>
      <c r="R213" s="89"/>
      <c r="S213" s="95"/>
    </row>
    <row r="214" spans="1:19" ht="63.75">
      <c r="A214" s="64" t="s">
        <v>527</v>
      </c>
      <c r="B214" s="65" t="s">
        <v>528</v>
      </c>
      <c r="C214" s="65" t="s">
        <v>23</v>
      </c>
      <c r="D214" s="72" t="s">
        <v>529</v>
      </c>
      <c r="E214" s="65" t="s">
        <v>48</v>
      </c>
      <c r="F214" s="65">
        <v>3</v>
      </c>
      <c r="G214" s="89"/>
      <c r="H214" s="89"/>
      <c r="I214" s="89"/>
      <c r="J214" s="68"/>
      <c r="K214" s="89"/>
      <c r="L214" s="90"/>
      <c r="M214" s="20"/>
      <c r="N214" s="90"/>
      <c r="O214" s="90"/>
      <c r="P214" s="76"/>
      <c r="Q214" s="90"/>
      <c r="R214" s="89"/>
      <c r="S214" s="95"/>
    </row>
    <row r="215" spans="1:19" ht="38.25">
      <c r="A215" s="64" t="s">
        <v>530</v>
      </c>
      <c r="B215" s="65" t="s">
        <v>531</v>
      </c>
      <c r="C215" s="65" t="s">
        <v>133</v>
      </c>
      <c r="D215" s="72" t="s">
        <v>532</v>
      </c>
      <c r="E215" s="65" t="s">
        <v>253</v>
      </c>
      <c r="F215" s="65">
        <v>12</v>
      </c>
      <c r="G215" s="89"/>
      <c r="H215" s="89"/>
      <c r="I215" s="89"/>
      <c r="J215" s="68"/>
      <c r="K215" s="89"/>
      <c r="L215" s="90"/>
      <c r="M215" s="20"/>
      <c r="N215" s="90"/>
      <c r="O215" s="90"/>
      <c r="P215" s="70"/>
      <c r="Q215" s="68"/>
      <c r="R215" s="89"/>
      <c r="S215" s="71"/>
    </row>
    <row r="216" spans="1:19" ht="38.25">
      <c r="A216" s="64" t="s">
        <v>533</v>
      </c>
      <c r="B216" s="65" t="s">
        <v>534</v>
      </c>
      <c r="C216" s="65" t="s">
        <v>133</v>
      </c>
      <c r="D216" s="72" t="s">
        <v>535</v>
      </c>
      <c r="E216" s="65" t="s">
        <v>253</v>
      </c>
      <c r="F216" s="65">
        <v>4</v>
      </c>
      <c r="G216" s="89"/>
      <c r="H216" s="89"/>
      <c r="I216" s="89"/>
      <c r="J216" s="68"/>
      <c r="K216" s="89"/>
      <c r="L216" s="90"/>
      <c r="M216" s="20"/>
      <c r="N216" s="90"/>
      <c r="O216" s="90"/>
      <c r="P216" s="76"/>
      <c r="Q216" s="90"/>
      <c r="R216" s="89"/>
      <c r="S216" s="95"/>
    </row>
    <row r="217" spans="1:19" ht="63.75">
      <c r="A217" s="64" t="s">
        <v>536</v>
      </c>
      <c r="B217" s="65" t="s">
        <v>537</v>
      </c>
      <c r="C217" s="65" t="s">
        <v>133</v>
      </c>
      <c r="D217" s="72" t="s">
        <v>538</v>
      </c>
      <c r="E217" s="65" t="s">
        <v>193</v>
      </c>
      <c r="F217" s="65">
        <v>444</v>
      </c>
      <c r="G217" s="89"/>
      <c r="H217" s="89"/>
      <c r="I217" s="89"/>
      <c r="J217" s="68"/>
      <c r="K217" s="89"/>
      <c r="L217" s="90"/>
      <c r="M217" s="20"/>
      <c r="N217" s="90"/>
      <c r="O217" s="90"/>
      <c r="P217" s="76"/>
      <c r="Q217" s="90"/>
      <c r="R217" s="89"/>
      <c r="S217" s="95"/>
    </row>
    <row r="218" spans="1:19" ht="38.25">
      <c r="A218" s="64" t="s">
        <v>539</v>
      </c>
      <c r="B218" s="65" t="s">
        <v>531</v>
      </c>
      <c r="C218" s="65" t="s">
        <v>133</v>
      </c>
      <c r="D218" s="72" t="s">
        <v>532</v>
      </c>
      <c r="E218" s="65" t="s">
        <v>253</v>
      </c>
      <c r="F218" s="65">
        <v>12</v>
      </c>
      <c r="G218" s="89"/>
      <c r="H218" s="89"/>
      <c r="I218" s="89"/>
      <c r="J218" s="68"/>
      <c r="K218" s="89"/>
      <c r="L218" s="90"/>
      <c r="M218" s="20"/>
      <c r="N218" s="90"/>
      <c r="O218" s="90"/>
      <c r="P218" s="76"/>
      <c r="Q218" s="90"/>
      <c r="R218" s="89"/>
      <c r="S218" s="95"/>
    </row>
    <row r="219" spans="1:19" ht="38.25">
      <c r="A219" s="64" t="s">
        <v>540</v>
      </c>
      <c r="B219" s="65" t="s">
        <v>541</v>
      </c>
      <c r="C219" s="65" t="s">
        <v>133</v>
      </c>
      <c r="D219" s="72" t="s">
        <v>542</v>
      </c>
      <c r="E219" s="65" t="s">
        <v>193</v>
      </c>
      <c r="F219" s="65">
        <v>13</v>
      </c>
      <c r="G219" s="89"/>
      <c r="H219" s="89"/>
      <c r="I219" s="89"/>
      <c r="J219" s="68"/>
      <c r="K219" s="89"/>
      <c r="L219" s="90"/>
      <c r="M219" s="20"/>
      <c r="N219" s="90"/>
      <c r="O219" s="90"/>
      <c r="P219" s="76"/>
      <c r="Q219" s="90"/>
      <c r="R219" s="89"/>
      <c r="S219" s="95"/>
    </row>
    <row r="220" spans="1:19" ht="63.75">
      <c r="A220" s="64" t="s">
        <v>543</v>
      </c>
      <c r="B220" s="65" t="s">
        <v>537</v>
      </c>
      <c r="C220" s="65" t="s">
        <v>133</v>
      </c>
      <c r="D220" s="72" t="s">
        <v>538</v>
      </c>
      <c r="E220" s="65" t="s">
        <v>193</v>
      </c>
      <c r="F220" s="65">
        <v>294</v>
      </c>
      <c r="G220" s="89"/>
      <c r="H220" s="89"/>
      <c r="I220" s="89"/>
      <c r="J220" s="68"/>
      <c r="K220" s="89"/>
      <c r="L220" s="90"/>
      <c r="M220" s="20"/>
      <c r="N220" s="90"/>
      <c r="O220" s="90"/>
      <c r="P220" s="76"/>
      <c r="Q220" s="90"/>
      <c r="R220" s="89"/>
      <c r="S220" s="95"/>
    </row>
    <row r="221" spans="1:19" ht="51">
      <c r="A221" s="64" t="s">
        <v>544</v>
      </c>
      <c r="B221" s="65" t="s">
        <v>545</v>
      </c>
      <c r="C221" s="65" t="s">
        <v>23</v>
      </c>
      <c r="D221" s="72" t="s">
        <v>546</v>
      </c>
      <c r="E221" s="65" t="s">
        <v>107</v>
      </c>
      <c r="F221" s="65">
        <v>33</v>
      </c>
      <c r="G221" s="89"/>
      <c r="H221" s="89"/>
      <c r="I221" s="89"/>
      <c r="J221" s="68"/>
      <c r="K221" s="89"/>
      <c r="L221" s="90"/>
      <c r="M221" s="20">
        <v>46</v>
      </c>
      <c r="N221" s="90"/>
      <c r="O221" s="90"/>
      <c r="P221" s="70" t="s">
        <v>1972</v>
      </c>
      <c r="Q221" s="68">
        <f>F221</f>
        <v>33</v>
      </c>
      <c r="R221" s="89" t="s">
        <v>2180</v>
      </c>
      <c r="S221" s="71">
        <f>F221+J221-K221+M221</f>
        <v>79</v>
      </c>
    </row>
    <row r="222" spans="1:19" ht="38.25">
      <c r="A222" s="64" t="s">
        <v>547</v>
      </c>
      <c r="B222" s="65" t="s">
        <v>541</v>
      </c>
      <c r="C222" s="65" t="s">
        <v>133</v>
      </c>
      <c r="D222" s="72" t="s">
        <v>542</v>
      </c>
      <c r="E222" s="65" t="s">
        <v>193</v>
      </c>
      <c r="F222" s="65">
        <v>13</v>
      </c>
      <c r="G222" s="89"/>
      <c r="H222" s="89"/>
      <c r="I222" s="89"/>
      <c r="J222" s="68"/>
      <c r="K222" s="89"/>
      <c r="L222" s="90"/>
      <c r="M222" s="20"/>
      <c r="N222" s="90"/>
      <c r="O222" s="90"/>
      <c r="P222" s="76"/>
      <c r="Q222" s="90"/>
      <c r="R222" s="89"/>
      <c r="S222" s="95"/>
    </row>
    <row r="223" spans="1:19" ht="38.25">
      <c r="A223" s="64" t="s">
        <v>548</v>
      </c>
      <c r="B223" s="65" t="s">
        <v>549</v>
      </c>
      <c r="C223" s="65" t="s">
        <v>133</v>
      </c>
      <c r="D223" s="72" t="s">
        <v>550</v>
      </c>
      <c r="E223" s="65" t="s">
        <v>253</v>
      </c>
      <c r="F223" s="65">
        <v>57</v>
      </c>
      <c r="G223" s="89"/>
      <c r="H223" s="89"/>
      <c r="I223" s="89"/>
      <c r="J223" s="68"/>
      <c r="K223" s="89"/>
      <c r="L223" s="90"/>
      <c r="M223" s="20"/>
      <c r="N223" s="90"/>
      <c r="O223" s="90"/>
      <c r="P223" s="76"/>
      <c r="Q223" s="90"/>
      <c r="R223" s="89"/>
      <c r="S223" s="95"/>
    </row>
    <row r="224" spans="1:19" ht="25.5">
      <c r="A224" s="64" t="s">
        <v>551</v>
      </c>
      <c r="B224" s="65" t="s">
        <v>552</v>
      </c>
      <c r="C224" s="65" t="s">
        <v>133</v>
      </c>
      <c r="D224" s="72" t="s">
        <v>553</v>
      </c>
      <c r="E224" s="65" t="s">
        <v>253</v>
      </c>
      <c r="F224" s="65">
        <v>29</v>
      </c>
      <c r="G224" s="89"/>
      <c r="H224" s="89"/>
      <c r="I224" s="89"/>
      <c r="J224" s="68"/>
      <c r="K224" s="89"/>
      <c r="L224" s="90"/>
      <c r="M224" s="20"/>
      <c r="N224" s="90"/>
      <c r="O224" s="90"/>
      <c r="P224" s="76"/>
      <c r="Q224" s="90"/>
      <c r="R224" s="89"/>
      <c r="S224" s="95"/>
    </row>
    <row r="225" spans="1:19" ht="51">
      <c r="A225" s="64" t="s">
        <v>554</v>
      </c>
      <c r="B225" s="65" t="s">
        <v>555</v>
      </c>
      <c r="C225" s="65" t="s">
        <v>133</v>
      </c>
      <c r="D225" s="72" t="s">
        <v>556</v>
      </c>
      <c r="E225" s="65" t="s">
        <v>253</v>
      </c>
      <c r="F225" s="65">
        <v>222</v>
      </c>
      <c r="G225" s="89"/>
      <c r="H225" s="89"/>
      <c r="I225" s="89"/>
      <c r="J225" s="68"/>
      <c r="K225" s="89"/>
      <c r="L225" s="90"/>
      <c r="M225" s="20"/>
      <c r="N225" s="90"/>
      <c r="O225" s="90"/>
      <c r="P225" s="76"/>
      <c r="Q225" s="90"/>
      <c r="R225" s="89"/>
      <c r="S225" s="95"/>
    </row>
    <row r="226" spans="1:19" ht="51">
      <c r="A226" s="64" t="s">
        <v>557</v>
      </c>
      <c r="B226" s="65" t="s">
        <v>558</v>
      </c>
      <c r="C226" s="65" t="s">
        <v>133</v>
      </c>
      <c r="D226" s="72" t="s">
        <v>559</v>
      </c>
      <c r="E226" s="65" t="s">
        <v>253</v>
      </c>
      <c r="F226" s="65">
        <v>2</v>
      </c>
      <c r="G226" s="89"/>
      <c r="H226" s="89"/>
      <c r="I226" s="89"/>
      <c r="J226" s="68"/>
      <c r="K226" s="89"/>
      <c r="L226" s="90"/>
      <c r="M226" s="20"/>
      <c r="N226" s="90"/>
      <c r="O226" s="90"/>
      <c r="P226" s="76"/>
      <c r="Q226" s="90"/>
      <c r="R226" s="89"/>
      <c r="S226" s="95"/>
    </row>
    <row r="227" spans="1:19" ht="51">
      <c r="A227" s="64" t="s">
        <v>560</v>
      </c>
      <c r="B227" s="65" t="s">
        <v>561</v>
      </c>
      <c r="C227" s="65" t="s">
        <v>133</v>
      </c>
      <c r="D227" s="72" t="s">
        <v>562</v>
      </c>
      <c r="E227" s="65" t="s">
        <v>253</v>
      </c>
      <c r="F227" s="65">
        <v>42</v>
      </c>
      <c r="G227" s="89"/>
      <c r="H227" s="89"/>
      <c r="I227" s="89"/>
      <c r="J227" s="68"/>
      <c r="K227" s="89"/>
      <c r="L227" s="90"/>
      <c r="M227" s="20"/>
      <c r="N227" s="90"/>
      <c r="O227" s="90"/>
      <c r="P227" s="76"/>
      <c r="Q227" s="90"/>
      <c r="R227" s="89"/>
      <c r="S227" s="95"/>
    </row>
    <row r="228" spans="1:19" ht="25.5">
      <c r="A228" s="64" t="s">
        <v>563</v>
      </c>
      <c r="B228" s="65" t="s">
        <v>552</v>
      </c>
      <c r="C228" s="65" t="s">
        <v>133</v>
      </c>
      <c r="D228" s="72" t="s">
        <v>553</v>
      </c>
      <c r="E228" s="65" t="s">
        <v>253</v>
      </c>
      <c r="F228" s="65">
        <v>29</v>
      </c>
      <c r="G228" s="89"/>
      <c r="H228" s="89"/>
      <c r="I228" s="89"/>
      <c r="J228" s="68"/>
      <c r="K228" s="89"/>
      <c r="L228" s="90"/>
      <c r="M228" s="20"/>
      <c r="N228" s="90"/>
      <c r="O228" s="90"/>
      <c r="P228" s="76"/>
      <c r="Q228" s="90"/>
      <c r="R228" s="89"/>
      <c r="S228" s="95"/>
    </row>
    <row r="229" spans="1:19" ht="51">
      <c r="A229" s="64" t="s">
        <v>564</v>
      </c>
      <c r="B229" s="65" t="s">
        <v>555</v>
      </c>
      <c r="C229" s="65" t="s">
        <v>133</v>
      </c>
      <c r="D229" s="72" t="s">
        <v>556</v>
      </c>
      <c r="E229" s="65" t="s">
        <v>253</v>
      </c>
      <c r="F229" s="65">
        <v>222</v>
      </c>
      <c r="G229" s="89"/>
      <c r="H229" s="89"/>
      <c r="I229" s="89"/>
      <c r="J229" s="68"/>
      <c r="K229" s="89"/>
      <c r="L229" s="90"/>
      <c r="M229" s="20"/>
      <c r="N229" s="90"/>
      <c r="O229" s="90"/>
      <c r="P229" s="76"/>
      <c r="Q229" s="90"/>
      <c r="R229" s="89"/>
      <c r="S229" s="95"/>
    </row>
    <row r="230" spans="1:19" ht="51">
      <c r="A230" s="64" t="s">
        <v>565</v>
      </c>
      <c r="B230" s="65" t="s">
        <v>558</v>
      </c>
      <c r="C230" s="65" t="s">
        <v>133</v>
      </c>
      <c r="D230" s="72" t="s">
        <v>559</v>
      </c>
      <c r="E230" s="65" t="s">
        <v>253</v>
      </c>
      <c r="F230" s="65">
        <v>2</v>
      </c>
      <c r="G230" s="89"/>
      <c r="H230" s="89"/>
      <c r="I230" s="89"/>
      <c r="J230" s="68"/>
      <c r="K230" s="89"/>
      <c r="L230" s="90"/>
      <c r="M230" s="20"/>
      <c r="N230" s="90"/>
      <c r="O230" s="90"/>
      <c r="P230" s="76"/>
      <c r="Q230" s="90"/>
      <c r="R230" s="89"/>
      <c r="S230" s="95"/>
    </row>
    <row r="231" spans="1:19" ht="51">
      <c r="A231" s="64" t="s">
        <v>566</v>
      </c>
      <c r="B231" s="65" t="s">
        <v>561</v>
      </c>
      <c r="C231" s="65" t="s">
        <v>133</v>
      </c>
      <c r="D231" s="72" t="s">
        <v>562</v>
      </c>
      <c r="E231" s="65" t="s">
        <v>253</v>
      </c>
      <c r="F231" s="65">
        <v>42</v>
      </c>
      <c r="G231" s="89"/>
      <c r="H231" s="89"/>
      <c r="I231" s="89"/>
      <c r="J231" s="68"/>
      <c r="K231" s="89"/>
      <c r="L231" s="90"/>
      <c r="M231" s="20"/>
      <c r="N231" s="90"/>
      <c r="O231" s="90"/>
      <c r="P231" s="76"/>
      <c r="Q231" s="90"/>
      <c r="R231" s="89"/>
      <c r="S231" s="95"/>
    </row>
    <row r="232" spans="1:19" ht="63.75">
      <c r="A232" s="64" t="s">
        <v>567</v>
      </c>
      <c r="B232" s="65" t="s">
        <v>568</v>
      </c>
      <c r="C232" s="65" t="s">
        <v>23</v>
      </c>
      <c r="D232" s="72" t="s">
        <v>569</v>
      </c>
      <c r="E232" s="65" t="s">
        <v>48</v>
      </c>
      <c r="F232" s="65">
        <v>1</v>
      </c>
      <c r="G232" s="89"/>
      <c r="H232" s="89"/>
      <c r="I232" s="89"/>
      <c r="J232" s="68"/>
      <c r="K232" s="89"/>
      <c r="L232" s="90"/>
      <c r="M232" s="20"/>
      <c r="N232" s="90"/>
      <c r="O232" s="90"/>
      <c r="P232" s="76"/>
      <c r="Q232" s="90"/>
      <c r="R232" s="89"/>
      <c r="S232" s="95"/>
    </row>
    <row r="233" spans="1:19" ht="15">
      <c r="A233" s="64" t="s">
        <v>570</v>
      </c>
      <c r="B233" s="65" t="s">
        <v>571</v>
      </c>
      <c r="C233" s="65" t="s">
        <v>6</v>
      </c>
      <c r="D233" s="72" t="s">
        <v>572</v>
      </c>
      <c r="E233" s="65" t="s">
        <v>253</v>
      </c>
      <c r="F233" s="65">
        <v>3</v>
      </c>
      <c r="G233" s="89"/>
      <c r="H233" s="89"/>
      <c r="I233" s="89"/>
      <c r="J233" s="68"/>
      <c r="K233" s="89"/>
      <c r="L233" s="90"/>
      <c r="M233" s="20"/>
      <c r="N233" s="90"/>
      <c r="O233" s="90"/>
      <c r="P233" s="76"/>
      <c r="Q233" s="90"/>
      <c r="R233" s="89"/>
      <c r="S233" s="95"/>
    </row>
    <row r="234" spans="1:19" ht="15">
      <c r="A234" s="64" t="s">
        <v>573</v>
      </c>
      <c r="B234" s="65" t="s">
        <v>574</v>
      </c>
      <c r="C234" s="65" t="s">
        <v>23</v>
      </c>
      <c r="D234" s="72" t="s">
        <v>575</v>
      </c>
      <c r="E234" s="65" t="s">
        <v>48</v>
      </c>
      <c r="F234" s="65">
        <v>4</v>
      </c>
      <c r="G234" s="89"/>
      <c r="H234" s="89"/>
      <c r="I234" s="89"/>
      <c r="J234" s="68"/>
      <c r="K234" s="89"/>
      <c r="L234" s="90"/>
      <c r="M234" s="20"/>
      <c r="N234" s="90"/>
      <c r="O234" s="90"/>
      <c r="P234" s="76"/>
      <c r="Q234" s="90"/>
      <c r="R234" s="89"/>
      <c r="S234" s="95"/>
    </row>
    <row r="235" spans="1:19" ht="15">
      <c r="A235" s="64" t="s">
        <v>576</v>
      </c>
      <c r="B235" s="65" t="s">
        <v>577</v>
      </c>
      <c r="C235" s="65" t="s">
        <v>23</v>
      </c>
      <c r="D235" s="72" t="s">
        <v>578</v>
      </c>
      <c r="E235" s="65" t="s">
        <v>48</v>
      </c>
      <c r="F235" s="65">
        <v>5</v>
      </c>
      <c r="G235" s="89"/>
      <c r="H235" s="89"/>
      <c r="I235" s="89"/>
      <c r="J235" s="68"/>
      <c r="K235" s="89"/>
      <c r="L235" s="90"/>
      <c r="M235" s="20"/>
      <c r="N235" s="90"/>
      <c r="O235" s="90"/>
      <c r="P235" s="76"/>
      <c r="Q235" s="90"/>
      <c r="R235" s="89"/>
      <c r="S235" s="95"/>
    </row>
    <row r="236" spans="1:19" ht="15">
      <c r="A236" s="64" t="s">
        <v>579</v>
      </c>
      <c r="B236" s="65" t="s">
        <v>580</v>
      </c>
      <c r="C236" s="65" t="s">
        <v>23</v>
      </c>
      <c r="D236" s="72" t="s">
        <v>581</v>
      </c>
      <c r="E236" s="65" t="s">
        <v>48</v>
      </c>
      <c r="F236" s="65">
        <v>14</v>
      </c>
      <c r="G236" s="89"/>
      <c r="H236" s="89"/>
      <c r="I236" s="89"/>
      <c r="J236" s="68"/>
      <c r="K236" s="89"/>
      <c r="L236" s="90"/>
      <c r="M236" s="20"/>
      <c r="N236" s="90"/>
      <c r="O236" s="90"/>
      <c r="P236" s="76"/>
      <c r="Q236" s="90"/>
      <c r="R236" s="89"/>
      <c r="S236" s="95"/>
    </row>
    <row r="237" spans="1:19" ht="63.75">
      <c r="A237" s="64" t="s">
        <v>582</v>
      </c>
      <c r="B237" s="65" t="s">
        <v>583</v>
      </c>
      <c r="C237" s="65" t="s">
        <v>133</v>
      </c>
      <c r="D237" s="72" t="s">
        <v>584</v>
      </c>
      <c r="E237" s="65" t="s">
        <v>253</v>
      </c>
      <c r="F237" s="65">
        <v>2</v>
      </c>
      <c r="G237" s="89"/>
      <c r="H237" s="89"/>
      <c r="I237" s="89"/>
      <c r="J237" s="68"/>
      <c r="K237" s="89"/>
      <c r="L237" s="90"/>
      <c r="M237" s="20"/>
      <c r="N237" s="90"/>
      <c r="O237" s="90"/>
      <c r="P237" s="76"/>
      <c r="Q237" s="90"/>
      <c r="R237" s="89"/>
      <c r="S237" s="95"/>
    </row>
    <row r="238" spans="1:19" ht="38.25">
      <c r="A238" s="64" t="s">
        <v>585</v>
      </c>
      <c r="B238" s="65" t="s">
        <v>586</v>
      </c>
      <c r="C238" s="65" t="s">
        <v>133</v>
      </c>
      <c r="D238" s="72" t="s">
        <v>587</v>
      </c>
      <c r="E238" s="65" t="s">
        <v>253</v>
      </c>
      <c r="F238" s="65">
        <v>13</v>
      </c>
      <c r="G238" s="89"/>
      <c r="H238" s="89"/>
      <c r="I238" s="89"/>
      <c r="J238" s="68"/>
      <c r="K238" s="89"/>
      <c r="L238" s="90"/>
      <c r="M238" s="20"/>
      <c r="N238" s="90"/>
      <c r="O238" s="90"/>
      <c r="P238" s="76"/>
      <c r="Q238" s="90"/>
      <c r="R238" s="89"/>
      <c r="S238" s="95"/>
    </row>
    <row r="239" spans="1:19" ht="51">
      <c r="A239" s="64" t="s">
        <v>588</v>
      </c>
      <c r="B239" s="65" t="s">
        <v>589</v>
      </c>
      <c r="C239" s="65" t="s">
        <v>133</v>
      </c>
      <c r="D239" s="72" t="s">
        <v>590</v>
      </c>
      <c r="E239" s="65" t="s">
        <v>253</v>
      </c>
      <c r="F239" s="65">
        <v>36</v>
      </c>
      <c r="G239" s="89"/>
      <c r="H239" s="89"/>
      <c r="I239" s="89"/>
      <c r="J239" s="68"/>
      <c r="K239" s="89"/>
      <c r="L239" s="90"/>
      <c r="M239" s="20"/>
      <c r="N239" s="90"/>
      <c r="O239" s="90"/>
      <c r="P239" s="76"/>
      <c r="Q239" s="90"/>
      <c r="R239" s="89"/>
      <c r="S239" s="95"/>
    </row>
    <row r="240" spans="1:19" ht="15">
      <c r="A240" s="64" t="s">
        <v>591</v>
      </c>
      <c r="B240" s="65" t="s">
        <v>592</v>
      </c>
      <c r="C240" s="65" t="s">
        <v>23</v>
      </c>
      <c r="D240" s="72" t="s">
        <v>593</v>
      </c>
      <c r="E240" s="65" t="s">
        <v>48</v>
      </c>
      <c r="F240" s="65">
        <v>8</v>
      </c>
      <c r="G240" s="89"/>
      <c r="H240" s="89"/>
      <c r="I240" s="89"/>
      <c r="J240" s="68"/>
      <c r="K240" s="89"/>
      <c r="L240" s="90"/>
      <c r="M240" s="20"/>
      <c r="N240" s="90"/>
      <c r="O240" s="90"/>
      <c r="P240" s="76"/>
      <c r="Q240" s="90"/>
      <c r="R240" s="89"/>
      <c r="S240" s="95"/>
    </row>
    <row r="241" spans="1:21" ht="63.75">
      <c r="A241" s="64" t="s">
        <v>594</v>
      </c>
      <c r="B241" s="65" t="s">
        <v>583</v>
      </c>
      <c r="C241" s="65" t="s">
        <v>133</v>
      </c>
      <c r="D241" s="72" t="s">
        <v>584</v>
      </c>
      <c r="E241" s="65" t="s">
        <v>253</v>
      </c>
      <c r="F241" s="65">
        <v>2</v>
      </c>
      <c r="G241" s="89"/>
      <c r="H241" s="89"/>
      <c r="I241" s="89"/>
      <c r="J241" s="68"/>
      <c r="K241" s="89"/>
      <c r="L241" s="90"/>
      <c r="M241" s="20"/>
      <c r="N241" s="90"/>
      <c r="O241" s="90"/>
      <c r="P241" s="76"/>
      <c r="Q241" s="90"/>
      <c r="R241" s="89"/>
      <c r="S241" s="95"/>
    </row>
    <row r="242" spans="1:21" ht="38.25">
      <c r="A242" s="64" t="s">
        <v>595</v>
      </c>
      <c r="B242" s="65" t="s">
        <v>586</v>
      </c>
      <c r="C242" s="65" t="s">
        <v>133</v>
      </c>
      <c r="D242" s="72" t="s">
        <v>587</v>
      </c>
      <c r="E242" s="65" t="s">
        <v>253</v>
      </c>
      <c r="F242" s="65">
        <v>13</v>
      </c>
      <c r="G242" s="89"/>
      <c r="H242" s="89"/>
      <c r="I242" s="89"/>
      <c r="J242" s="68"/>
      <c r="K242" s="89"/>
      <c r="L242" s="90"/>
      <c r="M242" s="20"/>
      <c r="N242" s="90"/>
      <c r="O242" s="90"/>
      <c r="P242" s="76"/>
      <c r="Q242" s="90"/>
      <c r="R242" s="89"/>
      <c r="S242" s="95"/>
    </row>
    <row r="243" spans="1:21" ht="51">
      <c r="A243" s="64" t="s">
        <v>596</v>
      </c>
      <c r="B243" s="65" t="s">
        <v>589</v>
      </c>
      <c r="C243" s="65" t="s">
        <v>133</v>
      </c>
      <c r="D243" s="72" t="s">
        <v>590</v>
      </c>
      <c r="E243" s="65" t="s">
        <v>253</v>
      </c>
      <c r="F243" s="65">
        <v>20</v>
      </c>
      <c r="G243" s="89"/>
      <c r="H243" s="89"/>
      <c r="I243" s="89"/>
      <c r="J243" s="68"/>
      <c r="K243" s="89"/>
      <c r="L243" s="90"/>
      <c r="M243" s="20"/>
      <c r="N243" s="90"/>
      <c r="O243" s="90"/>
      <c r="P243" s="76"/>
      <c r="Q243" s="90"/>
      <c r="R243" s="89"/>
      <c r="S243" s="95"/>
    </row>
    <row r="244" spans="1:21" ht="63.75">
      <c r="A244" s="64" t="s">
        <v>597</v>
      </c>
      <c r="B244" s="65" t="s">
        <v>598</v>
      </c>
      <c r="C244" s="65" t="s">
        <v>133</v>
      </c>
      <c r="D244" s="72" t="s">
        <v>599</v>
      </c>
      <c r="E244" s="65" t="s">
        <v>193</v>
      </c>
      <c r="F244" s="65">
        <v>121</v>
      </c>
      <c r="G244" s="89"/>
      <c r="H244" s="89"/>
      <c r="I244" s="89"/>
      <c r="J244" s="68"/>
      <c r="K244" s="89"/>
      <c r="L244" s="90"/>
      <c r="M244" s="20"/>
      <c r="N244" s="90"/>
      <c r="O244" s="90"/>
      <c r="P244" s="76"/>
      <c r="Q244" s="90"/>
      <c r="R244" s="89"/>
      <c r="S244" s="95"/>
    </row>
    <row r="245" spans="1:21" ht="25.5">
      <c r="A245" s="64" t="s">
        <v>600</v>
      </c>
      <c r="B245" s="65" t="s">
        <v>601</v>
      </c>
      <c r="C245" s="65" t="s">
        <v>23</v>
      </c>
      <c r="D245" s="72" t="s">
        <v>602</v>
      </c>
      <c r="E245" s="65" t="s">
        <v>48</v>
      </c>
      <c r="F245" s="65">
        <v>35</v>
      </c>
      <c r="G245" s="89"/>
      <c r="H245" s="89"/>
      <c r="I245" s="89"/>
      <c r="J245" s="68"/>
      <c r="K245" s="89"/>
      <c r="L245" s="90"/>
      <c r="M245" s="20"/>
      <c r="N245" s="90"/>
      <c r="O245" s="90"/>
      <c r="P245" s="76"/>
      <c r="Q245" s="90"/>
      <c r="R245" s="89"/>
      <c r="S245" s="95"/>
    </row>
    <row r="246" spans="1:21" ht="25.5">
      <c r="A246" s="64" t="s">
        <v>603</v>
      </c>
      <c r="B246" s="65" t="s">
        <v>604</v>
      </c>
      <c r="C246" s="65" t="s">
        <v>23</v>
      </c>
      <c r="D246" s="72" t="s">
        <v>605</v>
      </c>
      <c r="E246" s="65" t="s">
        <v>107</v>
      </c>
      <c r="F246" s="65">
        <v>3</v>
      </c>
      <c r="G246" s="89"/>
      <c r="H246" s="89"/>
      <c r="I246" s="89"/>
      <c r="J246" s="68"/>
      <c r="K246" s="89"/>
      <c r="L246" s="90"/>
      <c r="M246" s="20"/>
      <c r="N246" s="90"/>
      <c r="O246" s="90"/>
      <c r="P246" s="76"/>
      <c r="Q246" s="90"/>
      <c r="R246" s="89"/>
      <c r="S246" s="95"/>
    </row>
    <row r="247" spans="1:21" ht="25.5">
      <c r="A247" s="64" t="s">
        <v>606</v>
      </c>
      <c r="B247" s="65" t="s">
        <v>607</v>
      </c>
      <c r="C247" s="65" t="s">
        <v>23</v>
      </c>
      <c r="D247" s="72" t="s">
        <v>608</v>
      </c>
      <c r="E247" s="65" t="s">
        <v>107</v>
      </c>
      <c r="F247" s="65">
        <v>3</v>
      </c>
      <c r="G247" s="89"/>
      <c r="H247" s="89"/>
      <c r="I247" s="89"/>
      <c r="J247" s="68"/>
      <c r="K247" s="89"/>
      <c r="L247" s="90"/>
      <c r="M247" s="20"/>
      <c r="N247" s="90"/>
      <c r="O247" s="90"/>
      <c r="P247" s="76"/>
      <c r="Q247" s="90"/>
      <c r="R247" s="89"/>
      <c r="S247" s="95"/>
    </row>
    <row r="248" spans="1:21" ht="63.75">
      <c r="A248" s="64" t="s">
        <v>609</v>
      </c>
      <c r="B248" s="65" t="s">
        <v>610</v>
      </c>
      <c r="C248" s="65" t="s">
        <v>133</v>
      </c>
      <c r="D248" s="72" t="s">
        <v>611</v>
      </c>
      <c r="E248" s="65" t="s">
        <v>193</v>
      </c>
      <c r="F248" s="65">
        <v>165</v>
      </c>
      <c r="G248" s="89"/>
      <c r="H248" s="89"/>
      <c r="I248" s="89"/>
      <c r="J248" s="68"/>
      <c r="K248" s="89"/>
      <c r="L248" s="90"/>
      <c r="M248" s="20"/>
      <c r="N248" s="90"/>
      <c r="O248" s="90"/>
      <c r="P248" s="76"/>
      <c r="Q248" s="90"/>
      <c r="R248" s="89"/>
      <c r="S248" s="95"/>
    </row>
    <row r="249" spans="1:21" ht="63.75">
      <c r="A249" s="64" t="s">
        <v>612</v>
      </c>
      <c r="B249" s="65" t="s">
        <v>598</v>
      </c>
      <c r="C249" s="65" t="s">
        <v>133</v>
      </c>
      <c r="D249" s="72" t="s">
        <v>599</v>
      </c>
      <c r="E249" s="65" t="s">
        <v>193</v>
      </c>
      <c r="F249" s="65">
        <v>220</v>
      </c>
      <c r="G249" s="89"/>
      <c r="H249" s="89"/>
      <c r="I249" s="89"/>
      <c r="J249" s="68">
        <v>21</v>
      </c>
      <c r="K249" s="89"/>
      <c r="L249" s="90"/>
      <c r="M249" s="20"/>
      <c r="N249" s="90"/>
      <c r="O249" s="90"/>
      <c r="P249" s="76" t="s">
        <v>1996</v>
      </c>
      <c r="Q249" s="90">
        <v>220</v>
      </c>
      <c r="R249" s="89" t="s">
        <v>2181</v>
      </c>
      <c r="S249" s="99">
        <f>(220)+(21)</f>
        <v>241</v>
      </c>
    </row>
    <row r="250" spans="1:21" ht="63.75">
      <c r="A250" s="64" t="s">
        <v>613</v>
      </c>
      <c r="B250" s="65" t="s">
        <v>614</v>
      </c>
      <c r="C250" s="65" t="s">
        <v>133</v>
      </c>
      <c r="D250" s="72" t="s">
        <v>615</v>
      </c>
      <c r="E250" s="65" t="s">
        <v>193</v>
      </c>
      <c r="F250" s="65">
        <v>1</v>
      </c>
      <c r="G250" s="89"/>
      <c r="H250" s="89"/>
      <c r="I250" s="89"/>
      <c r="J250" s="68">
        <v>9</v>
      </c>
      <c r="K250" s="89"/>
      <c r="L250" s="90"/>
      <c r="M250" s="20"/>
      <c r="N250" s="90"/>
      <c r="O250" s="90"/>
      <c r="P250" s="76" t="s">
        <v>1996</v>
      </c>
      <c r="Q250" s="90">
        <v>1</v>
      </c>
      <c r="R250" s="89" t="s">
        <v>2182</v>
      </c>
      <c r="S250" s="99">
        <f>1+9</f>
        <v>10</v>
      </c>
    </row>
    <row r="251" spans="1:21" ht="25.5">
      <c r="A251" s="64" t="s">
        <v>616</v>
      </c>
      <c r="B251" s="65" t="s">
        <v>617</v>
      </c>
      <c r="C251" s="65" t="s">
        <v>23</v>
      </c>
      <c r="D251" s="72" t="s">
        <v>618</v>
      </c>
      <c r="E251" s="65" t="s">
        <v>107</v>
      </c>
      <c r="F251" s="65">
        <v>673</v>
      </c>
      <c r="G251" s="89"/>
      <c r="H251" s="89"/>
      <c r="I251" s="89"/>
      <c r="J251" s="68"/>
      <c r="K251" s="89"/>
      <c r="L251" s="90"/>
      <c r="M251" s="20">
        <v>236.72</v>
      </c>
      <c r="N251" s="90"/>
      <c r="O251" s="90"/>
      <c r="P251" s="70" t="s">
        <v>1972</v>
      </c>
      <c r="Q251" s="68">
        <f>F251</f>
        <v>673</v>
      </c>
      <c r="R251" s="89" t="s">
        <v>2515</v>
      </c>
      <c r="S251" s="71">
        <f>F251+J251-K251+M251</f>
        <v>909.72</v>
      </c>
    </row>
    <row r="252" spans="1:21" ht="25.5">
      <c r="A252" s="64" t="s">
        <v>619</v>
      </c>
      <c r="B252" s="65" t="s">
        <v>620</v>
      </c>
      <c r="C252" s="65" t="s">
        <v>23</v>
      </c>
      <c r="D252" s="72" t="s">
        <v>621</v>
      </c>
      <c r="E252" s="65" t="s">
        <v>107</v>
      </c>
      <c r="F252" s="65">
        <v>291</v>
      </c>
      <c r="G252" s="89"/>
      <c r="H252" s="89"/>
      <c r="I252" s="89"/>
      <c r="J252" s="68"/>
      <c r="K252" s="89"/>
      <c r="L252" s="90"/>
      <c r="M252" s="20">
        <v>5.61</v>
      </c>
      <c r="N252" s="90"/>
      <c r="O252" s="90"/>
      <c r="P252" s="70" t="s">
        <v>1972</v>
      </c>
      <c r="Q252" s="68">
        <f>F252</f>
        <v>291</v>
      </c>
      <c r="R252" s="89" t="s">
        <v>2487</v>
      </c>
      <c r="S252" s="71">
        <f>F252+J252-K252+M252</f>
        <v>296.61</v>
      </c>
    </row>
    <row r="253" spans="1:21" ht="25.5">
      <c r="A253" s="64" t="s">
        <v>622</v>
      </c>
      <c r="B253" s="65" t="s">
        <v>623</v>
      </c>
      <c r="C253" s="65" t="s">
        <v>23</v>
      </c>
      <c r="D253" s="72" t="s">
        <v>624</v>
      </c>
      <c r="E253" s="65" t="s">
        <v>107</v>
      </c>
      <c r="F253" s="65">
        <v>304</v>
      </c>
      <c r="G253" s="89"/>
      <c r="H253" s="89"/>
      <c r="I253" s="89"/>
      <c r="J253" s="68"/>
      <c r="K253" s="89"/>
      <c r="L253" s="90"/>
      <c r="M253" s="20">
        <v>15.46</v>
      </c>
      <c r="N253" s="90"/>
      <c r="O253" s="90"/>
      <c r="P253" s="70" t="s">
        <v>1972</v>
      </c>
      <c r="Q253" s="68">
        <f>F253</f>
        <v>304</v>
      </c>
      <c r="R253" s="89" t="s">
        <v>2516</v>
      </c>
      <c r="S253" s="71">
        <f>F253+J253-K253+M253</f>
        <v>319.45999999999998</v>
      </c>
    </row>
    <row r="254" spans="1:21" ht="25.5">
      <c r="A254" s="64" t="s">
        <v>625</v>
      </c>
      <c r="B254" s="65" t="s">
        <v>626</v>
      </c>
      <c r="C254" s="65" t="s">
        <v>23</v>
      </c>
      <c r="D254" s="72" t="s">
        <v>627</v>
      </c>
      <c r="E254" s="65" t="s">
        <v>107</v>
      </c>
      <c r="F254" s="65">
        <v>102</v>
      </c>
      <c r="G254" s="89"/>
      <c r="H254" s="89"/>
      <c r="I254" s="89"/>
      <c r="J254" s="68"/>
      <c r="K254" s="89"/>
      <c r="L254" s="90"/>
      <c r="M254" s="20"/>
      <c r="N254" s="90"/>
      <c r="O254" s="90"/>
      <c r="P254" s="76"/>
      <c r="Q254" s="90"/>
      <c r="R254" s="89"/>
      <c r="S254" s="95"/>
    </row>
    <row r="255" spans="1:21" ht="25.5">
      <c r="A255" s="64" t="s">
        <v>628</v>
      </c>
      <c r="B255" s="65" t="s">
        <v>629</v>
      </c>
      <c r="C255" s="65" t="s">
        <v>23</v>
      </c>
      <c r="D255" s="72" t="s">
        <v>630</v>
      </c>
      <c r="E255" s="65" t="s">
        <v>107</v>
      </c>
      <c r="F255" s="65">
        <v>485</v>
      </c>
      <c r="G255" s="89"/>
      <c r="H255" s="89"/>
      <c r="I255" s="89"/>
      <c r="J255" s="68"/>
      <c r="K255" s="89"/>
      <c r="L255" s="90"/>
      <c r="M255" s="20"/>
      <c r="N255" s="90"/>
      <c r="O255" s="90"/>
      <c r="P255" s="70"/>
      <c r="Q255" s="68"/>
      <c r="R255" s="89"/>
      <c r="S255" s="71"/>
    </row>
    <row r="256" spans="1:21" ht="25.5">
      <c r="A256" s="64" t="s">
        <v>628</v>
      </c>
      <c r="B256" s="65" t="s">
        <v>631</v>
      </c>
      <c r="C256" s="65" t="s">
        <v>23</v>
      </c>
      <c r="D256" s="72" t="s">
        <v>632</v>
      </c>
      <c r="E256" s="65" t="s">
        <v>107</v>
      </c>
      <c r="F256" s="65">
        <v>537</v>
      </c>
      <c r="G256" s="89"/>
      <c r="H256" s="89"/>
      <c r="I256" s="89"/>
      <c r="J256" s="68">
        <v>76.849999999999994</v>
      </c>
      <c r="K256" s="89"/>
      <c r="L256" s="90"/>
      <c r="M256" s="20">
        <v>23</v>
      </c>
      <c r="N256" s="90"/>
      <c r="O256" s="90"/>
      <c r="P256" s="70" t="s">
        <v>1972</v>
      </c>
      <c r="Q256" s="68">
        <f>F256</f>
        <v>537</v>
      </c>
      <c r="R256" s="89" t="s">
        <v>2517</v>
      </c>
      <c r="S256" s="71">
        <f>F256+J256-K256+M256</f>
        <v>636.85</v>
      </c>
      <c r="U256" s="75" t="s">
        <v>2179</v>
      </c>
    </row>
    <row r="257" spans="1:19" ht="15">
      <c r="A257" s="64" t="s">
        <v>633</v>
      </c>
      <c r="B257" s="65" t="s">
        <v>634</v>
      </c>
      <c r="C257" s="65" t="s">
        <v>6</v>
      </c>
      <c r="D257" s="72" t="s">
        <v>635</v>
      </c>
      <c r="E257" s="65" t="s">
        <v>253</v>
      </c>
      <c r="F257" s="65">
        <v>9</v>
      </c>
      <c r="G257" s="89"/>
      <c r="H257" s="89"/>
      <c r="I257" s="89"/>
      <c r="J257" s="68"/>
      <c r="K257" s="89"/>
      <c r="L257" s="90"/>
      <c r="M257" s="20"/>
      <c r="N257" s="90"/>
      <c r="O257" s="90"/>
      <c r="P257" s="76"/>
      <c r="Q257" s="90"/>
      <c r="R257" s="89"/>
      <c r="S257" s="95"/>
    </row>
    <row r="258" spans="1:19" ht="25.5">
      <c r="A258" s="64" t="s">
        <v>636</v>
      </c>
      <c r="B258" s="65" t="s">
        <v>637</v>
      </c>
      <c r="C258" s="65" t="s">
        <v>23</v>
      </c>
      <c r="D258" s="72" t="s">
        <v>638</v>
      </c>
      <c r="E258" s="65" t="s">
        <v>107</v>
      </c>
      <c r="F258" s="65">
        <v>175</v>
      </c>
      <c r="G258" s="89"/>
      <c r="H258" s="89"/>
      <c r="I258" s="89"/>
      <c r="J258" s="68"/>
      <c r="K258" s="89"/>
      <c r="L258" s="90"/>
      <c r="M258" s="20">
        <v>260.2</v>
      </c>
      <c r="N258" s="90"/>
      <c r="O258" s="90"/>
      <c r="P258" s="70" t="s">
        <v>1972</v>
      </c>
      <c r="Q258" s="68">
        <f>F258</f>
        <v>175</v>
      </c>
      <c r="R258" s="89" t="s">
        <v>2518</v>
      </c>
      <c r="S258" s="71">
        <f>F258+J258-K258+M258</f>
        <v>435.2</v>
      </c>
    </row>
    <row r="259" spans="1:19" ht="25.5">
      <c r="A259" s="64" t="s">
        <v>639</v>
      </c>
      <c r="B259" s="65" t="s">
        <v>640</v>
      </c>
      <c r="C259" s="65" t="s">
        <v>23</v>
      </c>
      <c r="D259" s="72" t="s">
        <v>641</v>
      </c>
      <c r="E259" s="65" t="s">
        <v>107</v>
      </c>
      <c r="F259" s="65">
        <v>30</v>
      </c>
      <c r="G259" s="89"/>
      <c r="H259" s="89"/>
      <c r="I259" s="89"/>
      <c r="J259" s="68"/>
      <c r="K259" s="89"/>
      <c r="L259" s="90"/>
      <c r="M259" s="20"/>
      <c r="N259" s="90"/>
      <c r="O259" s="90"/>
      <c r="P259" s="76"/>
      <c r="Q259" s="90"/>
      <c r="R259" s="89"/>
      <c r="S259" s="95"/>
    </row>
    <row r="260" spans="1:19" ht="25.5">
      <c r="A260" s="64" t="s">
        <v>642</v>
      </c>
      <c r="B260" s="65" t="s">
        <v>643</v>
      </c>
      <c r="C260" s="65" t="s">
        <v>23</v>
      </c>
      <c r="D260" s="72" t="s">
        <v>644</v>
      </c>
      <c r="E260" s="65" t="s">
        <v>107</v>
      </c>
      <c r="F260" s="65">
        <v>182</v>
      </c>
      <c r="G260" s="89"/>
      <c r="H260" s="89"/>
      <c r="I260" s="89"/>
      <c r="J260" s="68"/>
      <c r="K260" s="89"/>
      <c r="L260" s="90"/>
      <c r="M260" s="20"/>
      <c r="N260" s="90"/>
      <c r="O260" s="90"/>
      <c r="P260" s="76"/>
      <c r="Q260" s="90"/>
      <c r="R260" s="89"/>
      <c r="S260" s="95"/>
    </row>
    <row r="261" spans="1:19" ht="25.5">
      <c r="A261" s="64" t="s">
        <v>645</v>
      </c>
      <c r="B261" s="65" t="s">
        <v>646</v>
      </c>
      <c r="C261" s="65" t="s">
        <v>23</v>
      </c>
      <c r="D261" s="72" t="s">
        <v>647</v>
      </c>
      <c r="E261" s="65" t="s">
        <v>107</v>
      </c>
      <c r="F261" s="65">
        <v>173</v>
      </c>
      <c r="G261" s="89"/>
      <c r="H261" s="89"/>
      <c r="I261" s="89"/>
      <c r="J261" s="68"/>
      <c r="K261" s="89"/>
      <c r="L261" s="90"/>
      <c r="M261" s="20"/>
      <c r="N261" s="90"/>
      <c r="O261" s="90"/>
      <c r="P261" s="76"/>
      <c r="Q261" s="90"/>
      <c r="R261" s="89"/>
      <c r="S261" s="95"/>
    </row>
    <row r="262" spans="1:19" ht="15">
      <c r="A262" s="64" t="s">
        <v>648</v>
      </c>
      <c r="B262" s="65" t="s">
        <v>634</v>
      </c>
      <c r="C262" s="65" t="s">
        <v>6</v>
      </c>
      <c r="D262" s="72" t="s">
        <v>635</v>
      </c>
      <c r="E262" s="65" t="s">
        <v>253</v>
      </c>
      <c r="F262" s="65">
        <v>9</v>
      </c>
      <c r="G262" s="89"/>
      <c r="H262" s="89"/>
      <c r="I262" s="89"/>
      <c r="J262" s="68"/>
      <c r="K262" s="89"/>
      <c r="L262" s="90"/>
      <c r="M262" s="20"/>
      <c r="N262" s="90"/>
      <c r="O262" s="90"/>
      <c r="P262" s="76"/>
      <c r="Q262" s="90"/>
      <c r="R262" s="89"/>
      <c r="S262" s="95"/>
    </row>
    <row r="263" spans="1:19" ht="25.5">
      <c r="A263" s="64" t="s">
        <v>649</v>
      </c>
      <c r="B263" s="65" t="s">
        <v>650</v>
      </c>
      <c r="C263" s="65" t="s">
        <v>23</v>
      </c>
      <c r="D263" s="72" t="s">
        <v>651</v>
      </c>
      <c r="E263" s="65" t="s">
        <v>48</v>
      </c>
      <c r="F263" s="65">
        <v>1</v>
      </c>
      <c r="G263" s="89"/>
      <c r="H263" s="89"/>
      <c r="I263" s="89"/>
      <c r="J263" s="68"/>
      <c r="K263" s="89"/>
      <c r="L263" s="90"/>
      <c r="M263" s="20"/>
      <c r="N263" s="90"/>
      <c r="O263" s="90"/>
      <c r="P263" s="76"/>
      <c r="Q263" s="90"/>
      <c r="R263" s="89"/>
      <c r="S263" s="95"/>
    </row>
    <row r="264" spans="1:19">
      <c r="A264" s="60" t="s">
        <v>652</v>
      </c>
      <c r="B264" s="21"/>
      <c r="C264" s="21"/>
      <c r="D264" s="61" t="s">
        <v>653</v>
      </c>
      <c r="E264" s="21"/>
      <c r="F264" s="21"/>
      <c r="G264" s="89"/>
      <c r="H264" s="89"/>
      <c r="I264" s="89"/>
      <c r="J264" s="91"/>
      <c r="K264" s="91"/>
      <c r="L264" s="92"/>
      <c r="M264" s="12"/>
      <c r="N264" s="92"/>
      <c r="O264" s="92"/>
      <c r="P264" s="93"/>
      <c r="Q264" s="92"/>
      <c r="R264" s="91"/>
      <c r="S264" s="94"/>
    </row>
    <row r="265" spans="1:19" ht="25.5">
      <c r="A265" s="64" t="s">
        <v>654</v>
      </c>
      <c r="B265" s="65" t="s">
        <v>655</v>
      </c>
      <c r="C265" s="65" t="s">
        <v>23</v>
      </c>
      <c r="D265" s="72" t="s">
        <v>656</v>
      </c>
      <c r="E265" s="65" t="s">
        <v>107</v>
      </c>
      <c r="F265" s="65">
        <v>6</v>
      </c>
      <c r="G265" s="89"/>
      <c r="H265" s="89"/>
      <c r="I265" s="89"/>
      <c r="J265" s="68"/>
      <c r="K265" s="89"/>
      <c r="L265" s="90"/>
      <c r="M265" s="20"/>
      <c r="N265" s="90"/>
      <c r="O265" s="90"/>
      <c r="P265" s="76"/>
      <c r="Q265" s="90"/>
      <c r="R265" s="89"/>
      <c r="S265" s="95"/>
    </row>
    <row r="266" spans="1:19" ht="25.5">
      <c r="A266" s="64" t="s">
        <v>657</v>
      </c>
      <c r="B266" s="65" t="s">
        <v>658</v>
      </c>
      <c r="C266" s="65" t="s">
        <v>23</v>
      </c>
      <c r="D266" s="72" t="s">
        <v>659</v>
      </c>
      <c r="E266" s="65" t="s">
        <v>107</v>
      </c>
      <c r="F266" s="65">
        <v>42</v>
      </c>
      <c r="G266" s="89"/>
      <c r="H266" s="89"/>
      <c r="I266" s="89"/>
      <c r="J266" s="68"/>
      <c r="K266" s="89"/>
      <c r="L266" s="90"/>
      <c r="M266" s="20"/>
      <c r="N266" s="90"/>
      <c r="O266" s="90"/>
      <c r="P266" s="76"/>
      <c r="Q266" s="90"/>
      <c r="R266" s="89"/>
      <c r="S266" s="95"/>
    </row>
    <row r="267" spans="1:19" ht="25.5">
      <c r="A267" s="64" t="s">
        <v>660</v>
      </c>
      <c r="B267" s="65" t="s">
        <v>661</v>
      </c>
      <c r="C267" s="65" t="s">
        <v>23</v>
      </c>
      <c r="D267" s="72" t="s">
        <v>662</v>
      </c>
      <c r="E267" s="65" t="s">
        <v>107</v>
      </c>
      <c r="F267" s="65">
        <v>21</v>
      </c>
      <c r="G267" s="89"/>
      <c r="H267" s="89"/>
      <c r="I267" s="89"/>
      <c r="J267" s="68"/>
      <c r="K267" s="89"/>
      <c r="L267" s="90"/>
      <c r="M267" s="20"/>
      <c r="N267" s="90"/>
      <c r="O267" s="90"/>
      <c r="P267" s="76"/>
      <c r="Q267" s="90"/>
      <c r="R267" s="89"/>
      <c r="S267" s="95"/>
    </row>
    <row r="268" spans="1:19" ht="25.5">
      <c r="A268" s="64" t="s">
        <v>663</v>
      </c>
      <c r="B268" s="65" t="s">
        <v>664</v>
      </c>
      <c r="C268" s="65" t="s">
        <v>23</v>
      </c>
      <c r="D268" s="72" t="s">
        <v>665</v>
      </c>
      <c r="E268" s="65" t="s">
        <v>107</v>
      </c>
      <c r="F268" s="65">
        <v>127</v>
      </c>
      <c r="G268" s="89"/>
      <c r="H268" s="89"/>
      <c r="I268" s="89"/>
      <c r="J268" s="68"/>
      <c r="K268" s="89"/>
      <c r="L268" s="90"/>
      <c r="M268" s="20"/>
      <c r="N268" s="90"/>
      <c r="O268" s="90"/>
      <c r="P268" s="76"/>
      <c r="Q268" s="90"/>
      <c r="R268" s="89"/>
      <c r="S268" s="95"/>
    </row>
    <row r="269" spans="1:19" ht="25.5">
      <c r="A269" s="64" t="s">
        <v>666</v>
      </c>
      <c r="B269" s="65" t="s">
        <v>667</v>
      </c>
      <c r="C269" s="65" t="s">
        <v>23</v>
      </c>
      <c r="D269" s="72" t="s">
        <v>668</v>
      </c>
      <c r="E269" s="65" t="s">
        <v>107</v>
      </c>
      <c r="F269" s="65">
        <v>27</v>
      </c>
      <c r="G269" s="89"/>
      <c r="H269" s="89"/>
      <c r="I269" s="89"/>
      <c r="J269" s="68"/>
      <c r="K269" s="89"/>
      <c r="L269" s="90"/>
      <c r="M269" s="20"/>
      <c r="N269" s="90"/>
      <c r="O269" s="90"/>
      <c r="P269" s="76"/>
      <c r="Q269" s="90"/>
      <c r="R269" s="89"/>
      <c r="S269" s="95"/>
    </row>
    <row r="270" spans="1:19" ht="15">
      <c r="A270" s="64" t="s">
        <v>669</v>
      </c>
      <c r="B270" s="65" t="s">
        <v>670</v>
      </c>
      <c r="C270" s="65" t="s">
        <v>23</v>
      </c>
      <c r="D270" s="72" t="s">
        <v>671</v>
      </c>
      <c r="E270" s="65" t="s">
        <v>107</v>
      </c>
      <c r="F270" s="65">
        <v>910</v>
      </c>
      <c r="G270" s="89"/>
      <c r="H270" s="89"/>
      <c r="I270" s="89"/>
      <c r="J270" s="68"/>
      <c r="K270" s="89"/>
      <c r="L270" s="90"/>
      <c r="M270" s="20"/>
      <c r="N270" s="90"/>
      <c r="O270" s="90"/>
      <c r="P270" s="76"/>
      <c r="Q270" s="90"/>
      <c r="R270" s="89"/>
      <c r="S270" s="95"/>
    </row>
    <row r="271" spans="1:19" ht="15">
      <c r="A271" s="64" t="s">
        <v>672</v>
      </c>
      <c r="B271" s="65" t="s">
        <v>673</v>
      </c>
      <c r="C271" s="65" t="s">
        <v>23</v>
      </c>
      <c r="D271" s="72" t="s">
        <v>674</v>
      </c>
      <c r="E271" s="65" t="s">
        <v>107</v>
      </c>
      <c r="F271" s="65">
        <v>175</v>
      </c>
      <c r="G271" s="89"/>
      <c r="H271" s="89"/>
      <c r="I271" s="89"/>
      <c r="J271" s="68"/>
      <c r="K271" s="89"/>
      <c r="L271" s="90"/>
      <c r="M271" s="20"/>
      <c r="N271" s="90"/>
      <c r="O271" s="90"/>
      <c r="P271" s="76"/>
      <c r="Q271" s="90"/>
      <c r="R271" s="89"/>
      <c r="S271" s="95"/>
    </row>
    <row r="272" spans="1:19" ht="38.25">
      <c r="A272" s="64" t="s">
        <v>675</v>
      </c>
      <c r="B272" s="65" t="s">
        <v>676</v>
      </c>
      <c r="C272" s="65" t="s">
        <v>200</v>
      </c>
      <c r="D272" s="72" t="s">
        <v>677</v>
      </c>
      <c r="E272" s="65" t="s">
        <v>48</v>
      </c>
      <c r="F272" s="65">
        <v>12</v>
      </c>
      <c r="G272" s="89"/>
      <c r="H272" s="89"/>
      <c r="I272" s="89"/>
      <c r="J272" s="68"/>
      <c r="K272" s="89"/>
      <c r="L272" s="90"/>
      <c r="M272" s="20"/>
      <c r="N272" s="90"/>
      <c r="O272" s="90"/>
      <c r="P272" s="76"/>
      <c r="Q272" s="90"/>
      <c r="R272" s="89"/>
      <c r="S272" s="95"/>
    </row>
    <row r="273" spans="1:19" ht="51">
      <c r="A273" s="64" t="s">
        <v>678</v>
      </c>
      <c r="B273" s="65" t="s">
        <v>679</v>
      </c>
      <c r="C273" s="65" t="s">
        <v>133</v>
      </c>
      <c r="D273" s="72" t="s">
        <v>680</v>
      </c>
      <c r="E273" s="65" t="s">
        <v>193</v>
      </c>
      <c r="F273" s="65">
        <v>36</v>
      </c>
      <c r="G273" s="89"/>
      <c r="H273" s="89"/>
      <c r="I273" s="89"/>
      <c r="J273" s="68"/>
      <c r="K273" s="89"/>
      <c r="L273" s="90"/>
      <c r="M273" s="20"/>
      <c r="N273" s="90"/>
      <c r="O273" s="90"/>
      <c r="P273" s="76"/>
      <c r="Q273" s="90"/>
      <c r="R273" s="89"/>
      <c r="S273" s="95"/>
    </row>
    <row r="274" spans="1:19" ht="51">
      <c r="A274" s="64" t="s">
        <v>681</v>
      </c>
      <c r="B274" s="65" t="s">
        <v>682</v>
      </c>
      <c r="C274" s="65" t="s">
        <v>133</v>
      </c>
      <c r="D274" s="72" t="s">
        <v>683</v>
      </c>
      <c r="E274" s="65" t="s">
        <v>193</v>
      </c>
      <c r="F274" s="65">
        <v>15</v>
      </c>
      <c r="G274" s="89"/>
      <c r="H274" s="89"/>
      <c r="I274" s="89"/>
      <c r="J274" s="68"/>
      <c r="K274" s="89"/>
      <c r="L274" s="90"/>
      <c r="M274" s="20"/>
      <c r="N274" s="90"/>
      <c r="O274" s="90"/>
      <c r="P274" s="76"/>
      <c r="Q274" s="90"/>
      <c r="R274" s="89"/>
      <c r="S274" s="95"/>
    </row>
    <row r="275" spans="1:19" ht="51">
      <c r="A275" s="64" t="s">
        <v>684</v>
      </c>
      <c r="B275" s="65" t="s">
        <v>685</v>
      </c>
      <c r="C275" s="65" t="s">
        <v>133</v>
      </c>
      <c r="D275" s="72" t="s">
        <v>686</v>
      </c>
      <c r="E275" s="65" t="s">
        <v>193</v>
      </c>
      <c r="F275" s="65">
        <v>121</v>
      </c>
      <c r="G275" s="89"/>
      <c r="H275" s="89"/>
      <c r="I275" s="89"/>
      <c r="J275" s="68"/>
      <c r="K275" s="89"/>
      <c r="L275" s="90"/>
      <c r="M275" s="20"/>
      <c r="N275" s="90"/>
      <c r="O275" s="90"/>
      <c r="P275" s="76"/>
      <c r="Q275" s="90"/>
      <c r="R275" s="89"/>
      <c r="S275" s="95"/>
    </row>
    <row r="276" spans="1:19" ht="51">
      <c r="A276" s="64" t="s">
        <v>687</v>
      </c>
      <c r="B276" s="65" t="s">
        <v>688</v>
      </c>
      <c r="C276" s="65" t="s">
        <v>133</v>
      </c>
      <c r="D276" s="72" t="s">
        <v>689</v>
      </c>
      <c r="E276" s="65" t="s">
        <v>193</v>
      </c>
      <c r="F276" s="65">
        <v>160</v>
      </c>
      <c r="G276" s="89"/>
      <c r="H276" s="89"/>
      <c r="I276" s="89"/>
      <c r="J276" s="68"/>
      <c r="K276" s="89"/>
      <c r="L276" s="90"/>
      <c r="M276" s="20"/>
      <c r="N276" s="90"/>
      <c r="O276" s="90"/>
      <c r="P276" s="76"/>
      <c r="Q276" s="90"/>
      <c r="R276" s="89"/>
      <c r="S276" s="95"/>
    </row>
    <row r="277" spans="1:19" ht="25.5">
      <c r="A277" s="64" t="s">
        <v>690</v>
      </c>
      <c r="B277" s="65" t="s">
        <v>691</v>
      </c>
      <c r="C277" s="65" t="s">
        <v>23</v>
      </c>
      <c r="D277" s="72" t="s">
        <v>692</v>
      </c>
      <c r="E277" s="65" t="s">
        <v>107</v>
      </c>
      <c r="F277" s="65">
        <v>300</v>
      </c>
      <c r="G277" s="89"/>
      <c r="H277" s="89"/>
      <c r="I277" s="89"/>
      <c r="J277" s="68"/>
      <c r="K277" s="89"/>
      <c r="L277" s="90"/>
      <c r="M277" s="20"/>
      <c r="N277" s="90"/>
      <c r="O277" s="90"/>
      <c r="P277" s="76"/>
      <c r="Q277" s="90"/>
      <c r="R277" s="89"/>
      <c r="S277" s="95"/>
    </row>
    <row r="278" spans="1:19" ht="25.5">
      <c r="A278" s="64" t="s">
        <v>693</v>
      </c>
      <c r="B278" s="65" t="s">
        <v>694</v>
      </c>
      <c r="C278" s="65" t="s">
        <v>23</v>
      </c>
      <c r="D278" s="72" t="s">
        <v>695</v>
      </c>
      <c r="E278" s="65" t="s">
        <v>107</v>
      </c>
      <c r="F278" s="65">
        <v>227</v>
      </c>
      <c r="G278" s="89"/>
      <c r="H278" s="89"/>
      <c r="I278" s="89"/>
      <c r="J278" s="68">
        <v>31</v>
      </c>
      <c r="K278" s="89"/>
      <c r="L278" s="90"/>
      <c r="M278" s="20"/>
      <c r="N278" s="90"/>
      <c r="O278" s="90"/>
      <c r="P278" s="76" t="s">
        <v>2183</v>
      </c>
      <c r="Q278" s="90">
        <f>F278</f>
        <v>227</v>
      </c>
      <c r="R278" s="89" t="s">
        <v>2184</v>
      </c>
      <c r="S278" s="95">
        <f>Q278+J278</f>
        <v>258</v>
      </c>
    </row>
    <row r="279" spans="1:19" ht="25.5">
      <c r="A279" s="64" t="s">
        <v>696</v>
      </c>
      <c r="B279" s="65" t="s">
        <v>697</v>
      </c>
      <c r="C279" s="65" t="s">
        <v>23</v>
      </c>
      <c r="D279" s="72" t="s">
        <v>698</v>
      </c>
      <c r="E279" s="65" t="s">
        <v>107</v>
      </c>
      <c r="F279" s="65">
        <v>160</v>
      </c>
      <c r="G279" s="89"/>
      <c r="H279" s="89"/>
      <c r="I279" s="89"/>
      <c r="J279" s="68"/>
      <c r="K279" s="89"/>
      <c r="L279" s="90"/>
      <c r="M279" s="20"/>
      <c r="N279" s="90"/>
      <c r="O279" s="90"/>
      <c r="P279" s="76"/>
      <c r="Q279" s="90"/>
      <c r="R279" s="89"/>
      <c r="S279" s="95"/>
    </row>
    <row r="280" spans="1:19" ht="25.5">
      <c r="A280" s="64" t="s">
        <v>699</v>
      </c>
      <c r="B280" s="65" t="s">
        <v>700</v>
      </c>
      <c r="C280" s="65" t="s">
        <v>23</v>
      </c>
      <c r="D280" s="72" t="s">
        <v>701</v>
      </c>
      <c r="E280" s="65" t="s">
        <v>107</v>
      </c>
      <c r="F280" s="65">
        <v>558</v>
      </c>
      <c r="G280" s="89"/>
      <c r="H280" s="89"/>
      <c r="I280" s="89"/>
      <c r="J280" s="69">
        <v>140</v>
      </c>
      <c r="K280" s="89"/>
      <c r="L280" s="90"/>
      <c r="M280" s="20">
        <v>185.3</v>
      </c>
      <c r="N280" s="90"/>
      <c r="O280" s="90"/>
      <c r="P280" s="76" t="s">
        <v>2183</v>
      </c>
      <c r="Q280" s="90">
        <f>F280</f>
        <v>558</v>
      </c>
      <c r="R280" s="89" t="s">
        <v>2488</v>
      </c>
      <c r="S280" s="95">
        <f>Q280+J280</f>
        <v>698</v>
      </c>
    </row>
    <row r="281" spans="1:19" ht="25.5">
      <c r="A281" s="64" t="s">
        <v>702</v>
      </c>
      <c r="B281" s="65" t="s">
        <v>703</v>
      </c>
      <c r="C281" s="65" t="s">
        <v>23</v>
      </c>
      <c r="D281" s="72" t="s">
        <v>704</v>
      </c>
      <c r="E281" s="65" t="s">
        <v>107</v>
      </c>
      <c r="F281" s="65">
        <v>3950</v>
      </c>
      <c r="G281" s="89"/>
      <c r="H281" s="89"/>
      <c r="I281" s="89"/>
      <c r="J281" s="68"/>
      <c r="K281" s="89"/>
      <c r="L281" s="90"/>
      <c r="M281" s="20">
        <v>4228.5</v>
      </c>
      <c r="N281" s="90"/>
      <c r="O281" s="90"/>
      <c r="P281" s="76" t="s">
        <v>2183</v>
      </c>
      <c r="Q281" s="90">
        <f>F281</f>
        <v>3950</v>
      </c>
      <c r="R281" s="89" t="s">
        <v>2520</v>
      </c>
      <c r="S281" s="95">
        <f>Q281+J281</f>
        <v>3950</v>
      </c>
    </row>
    <row r="282" spans="1:19" ht="25.5">
      <c r="A282" s="64" t="s">
        <v>705</v>
      </c>
      <c r="B282" s="65" t="s">
        <v>706</v>
      </c>
      <c r="C282" s="65" t="s">
        <v>23</v>
      </c>
      <c r="D282" s="72" t="s">
        <v>707</v>
      </c>
      <c r="E282" s="65" t="s">
        <v>107</v>
      </c>
      <c r="F282" s="65">
        <v>499</v>
      </c>
      <c r="G282" s="89"/>
      <c r="H282" s="89"/>
      <c r="I282" s="89"/>
      <c r="J282" s="68">
        <v>636</v>
      </c>
      <c r="K282" s="89"/>
      <c r="L282" s="90"/>
      <c r="M282" s="20">
        <v>11.2</v>
      </c>
      <c r="N282" s="90"/>
      <c r="O282" s="90"/>
      <c r="P282" s="70" t="s">
        <v>1972</v>
      </c>
      <c r="Q282" s="68">
        <f>F282</f>
        <v>499</v>
      </c>
      <c r="R282" s="89" t="s">
        <v>2489</v>
      </c>
      <c r="S282" s="71">
        <f>F282+J282-K282+M282</f>
        <v>1146.2</v>
      </c>
    </row>
    <row r="283" spans="1:19" ht="25.5">
      <c r="A283" s="64" t="s">
        <v>708</v>
      </c>
      <c r="B283" s="65" t="s">
        <v>709</v>
      </c>
      <c r="C283" s="65" t="s">
        <v>23</v>
      </c>
      <c r="D283" s="72" t="s">
        <v>710</v>
      </c>
      <c r="E283" s="65" t="s">
        <v>107</v>
      </c>
      <c r="F283" s="65">
        <v>144</v>
      </c>
      <c r="G283" s="89"/>
      <c r="H283" s="89"/>
      <c r="I283" s="89"/>
      <c r="J283" s="68"/>
      <c r="K283" s="89"/>
      <c r="L283" s="90"/>
      <c r="M283" s="20"/>
      <c r="N283" s="90"/>
      <c r="O283" s="90"/>
      <c r="P283" s="76"/>
      <c r="Q283" s="90"/>
      <c r="R283" s="89"/>
      <c r="S283" s="95"/>
    </row>
    <row r="284" spans="1:19" ht="25.5">
      <c r="A284" s="64" t="s">
        <v>711</v>
      </c>
      <c r="B284" s="65" t="s">
        <v>712</v>
      </c>
      <c r="C284" s="65" t="s">
        <v>23</v>
      </c>
      <c r="D284" s="72" t="s">
        <v>713</v>
      </c>
      <c r="E284" s="65" t="s">
        <v>107</v>
      </c>
      <c r="F284" s="65">
        <v>165</v>
      </c>
      <c r="G284" s="89"/>
      <c r="H284" s="89"/>
      <c r="I284" s="89"/>
      <c r="J284" s="69">
        <v>167</v>
      </c>
      <c r="K284" s="89"/>
      <c r="L284" s="90"/>
      <c r="M284" s="20">
        <v>730</v>
      </c>
      <c r="N284" s="90"/>
      <c r="O284" s="90"/>
      <c r="P284" s="70" t="s">
        <v>1972</v>
      </c>
      <c r="Q284" s="68">
        <f>F284</f>
        <v>165</v>
      </c>
      <c r="R284" s="89" t="s">
        <v>2490</v>
      </c>
      <c r="S284" s="71">
        <f>F284+J284-K284+M284</f>
        <v>1062</v>
      </c>
    </row>
    <row r="285" spans="1:19" ht="25.5">
      <c r="A285" s="64" t="s">
        <v>714</v>
      </c>
      <c r="B285" s="65" t="s">
        <v>715</v>
      </c>
      <c r="C285" s="65" t="s">
        <v>23</v>
      </c>
      <c r="D285" s="72" t="s">
        <v>716</v>
      </c>
      <c r="E285" s="65" t="s">
        <v>107</v>
      </c>
      <c r="F285" s="65">
        <v>100</v>
      </c>
      <c r="G285" s="89"/>
      <c r="H285" s="89"/>
      <c r="I285" s="89"/>
      <c r="J285" s="68"/>
      <c r="K285" s="89"/>
      <c r="L285" s="90"/>
      <c r="M285" s="20">
        <v>149.19999999999999</v>
      </c>
      <c r="N285" s="90"/>
      <c r="O285" s="90"/>
      <c r="P285" s="70" t="s">
        <v>1972</v>
      </c>
      <c r="Q285" s="68">
        <f>F285</f>
        <v>100</v>
      </c>
      <c r="R285" s="89" t="s">
        <v>2521</v>
      </c>
      <c r="S285" s="71">
        <f>F285+J285-K285+M285</f>
        <v>249.2</v>
      </c>
    </row>
    <row r="286" spans="1:19" ht="25.5">
      <c r="A286" s="64" t="s">
        <v>717</v>
      </c>
      <c r="B286" s="65" t="s">
        <v>718</v>
      </c>
      <c r="C286" s="65" t="s">
        <v>23</v>
      </c>
      <c r="D286" s="72" t="s">
        <v>719</v>
      </c>
      <c r="E286" s="65" t="s">
        <v>107</v>
      </c>
      <c r="F286" s="65">
        <v>6</v>
      </c>
      <c r="G286" s="89"/>
      <c r="H286" s="89"/>
      <c r="I286" s="89"/>
      <c r="J286" s="68">
        <v>582</v>
      </c>
      <c r="K286" s="89"/>
      <c r="L286" s="90"/>
      <c r="M286" s="20"/>
      <c r="N286" s="90"/>
      <c r="O286" s="90"/>
      <c r="P286" s="76" t="s">
        <v>2183</v>
      </c>
      <c r="Q286" s="90">
        <f>F286</f>
        <v>6</v>
      </c>
      <c r="R286" s="89" t="s">
        <v>2185</v>
      </c>
      <c r="S286" s="71">
        <f>F286+J286-K286+M286</f>
        <v>588</v>
      </c>
    </row>
    <row r="287" spans="1:19" ht="25.5">
      <c r="A287" s="64" t="s">
        <v>720</v>
      </c>
      <c r="B287" s="65" t="s">
        <v>721</v>
      </c>
      <c r="C287" s="65" t="s">
        <v>23</v>
      </c>
      <c r="D287" s="72" t="s">
        <v>722</v>
      </c>
      <c r="E287" s="65" t="s">
        <v>107</v>
      </c>
      <c r="F287" s="65">
        <v>1384</v>
      </c>
      <c r="G287" s="89"/>
      <c r="H287" s="89"/>
      <c r="I287" s="89"/>
      <c r="J287" s="68"/>
      <c r="K287" s="89"/>
      <c r="L287" s="90"/>
      <c r="M287" s="20">
        <v>2519</v>
      </c>
      <c r="N287" s="90"/>
      <c r="O287" s="90"/>
      <c r="P287" s="76" t="s">
        <v>2183</v>
      </c>
      <c r="Q287" s="90">
        <f>F287</f>
        <v>1384</v>
      </c>
      <c r="R287" s="89" t="s">
        <v>2522</v>
      </c>
      <c r="S287" s="71">
        <f>F287+J287-K287+M287</f>
        <v>3903</v>
      </c>
    </row>
    <row r="288" spans="1:19" ht="25.5">
      <c r="A288" s="64" t="s">
        <v>723</v>
      </c>
      <c r="B288" s="65" t="s">
        <v>724</v>
      </c>
      <c r="C288" s="65" t="s">
        <v>23</v>
      </c>
      <c r="D288" s="72" t="s">
        <v>725</v>
      </c>
      <c r="E288" s="65" t="s">
        <v>107</v>
      </c>
      <c r="F288" s="65">
        <v>121</v>
      </c>
      <c r="G288" s="89"/>
      <c r="H288" s="89"/>
      <c r="I288" s="89"/>
      <c r="J288" s="68"/>
      <c r="K288" s="89"/>
      <c r="L288" s="90"/>
      <c r="M288" s="20"/>
      <c r="N288" s="90"/>
      <c r="O288" s="90"/>
      <c r="P288" s="70" t="s">
        <v>1972</v>
      </c>
      <c r="Q288" s="68">
        <f>F288</f>
        <v>121</v>
      </c>
      <c r="R288" s="89" t="s">
        <v>2186</v>
      </c>
      <c r="S288" s="71">
        <f>F288+J288-K288+M288</f>
        <v>121</v>
      </c>
    </row>
    <row r="289" spans="1:19" ht="25.5">
      <c r="A289" s="64" t="s">
        <v>726</v>
      </c>
      <c r="B289" s="65" t="s">
        <v>727</v>
      </c>
      <c r="C289" s="65" t="s">
        <v>23</v>
      </c>
      <c r="D289" s="72" t="s">
        <v>728</v>
      </c>
      <c r="E289" s="65" t="s">
        <v>107</v>
      </c>
      <c r="F289" s="65">
        <v>363</v>
      </c>
      <c r="G289" s="89"/>
      <c r="H289" s="89"/>
      <c r="I289" s="89"/>
      <c r="J289" s="68"/>
      <c r="K289" s="89"/>
      <c r="L289" s="90"/>
      <c r="M289" s="20"/>
      <c r="N289" s="90"/>
      <c r="O289" s="90"/>
      <c r="P289" s="76"/>
      <c r="Q289" s="90"/>
      <c r="R289" s="89"/>
      <c r="S289" s="95"/>
    </row>
    <row r="290" spans="1:19" ht="25.5">
      <c r="A290" s="64" t="s">
        <v>729</v>
      </c>
      <c r="B290" s="65" t="s">
        <v>730</v>
      </c>
      <c r="C290" s="65" t="s">
        <v>23</v>
      </c>
      <c r="D290" s="72" t="s">
        <v>731</v>
      </c>
      <c r="E290" s="65" t="s">
        <v>107</v>
      </c>
      <c r="F290" s="65">
        <v>480</v>
      </c>
      <c r="G290" s="89"/>
      <c r="H290" s="89"/>
      <c r="I290" s="89"/>
      <c r="J290" s="68">
        <v>20</v>
      </c>
      <c r="K290" s="89"/>
      <c r="L290" s="90"/>
      <c r="M290" s="20"/>
      <c r="N290" s="90"/>
      <c r="O290" s="90"/>
      <c r="P290" s="76" t="s">
        <v>2183</v>
      </c>
      <c r="Q290" s="90">
        <f>F290</f>
        <v>480</v>
      </c>
      <c r="R290" s="89" t="s">
        <v>2187</v>
      </c>
      <c r="S290" s="71">
        <f>F290+J290-K290+M290</f>
        <v>500</v>
      </c>
    </row>
    <row r="291" spans="1:19" ht="25.5">
      <c r="A291" s="64" t="s">
        <v>732</v>
      </c>
      <c r="B291" s="65" t="s">
        <v>733</v>
      </c>
      <c r="C291" s="65" t="s">
        <v>23</v>
      </c>
      <c r="D291" s="72" t="s">
        <v>734</v>
      </c>
      <c r="E291" s="65" t="s">
        <v>107</v>
      </c>
      <c r="F291" s="65">
        <v>65</v>
      </c>
      <c r="G291" s="89"/>
      <c r="H291" s="89"/>
      <c r="I291" s="89"/>
      <c r="J291" s="68"/>
      <c r="K291" s="89"/>
      <c r="L291" s="90"/>
      <c r="M291" s="20"/>
      <c r="N291" s="90"/>
      <c r="O291" s="90"/>
      <c r="P291" s="76"/>
      <c r="Q291" s="90"/>
      <c r="R291" s="89"/>
      <c r="S291" s="95"/>
    </row>
    <row r="292" spans="1:19" ht="25.5">
      <c r="A292" s="64" t="s">
        <v>735</v>
      </c>
      <c r="B292" s="65" t="s">
        <v>736</v>
      </c>
      <c r="C292" s="65" t="s">
        <v>6</v>
      </c>
      <c r="D292" s="72" t="s">
        <v>737</v>
      </c>
      <c r="E292" s="65" t="s">
        <v>193</v>
      </c>
      <c r="F292" s="65">
        <v>800</v>
      </c>
      <c r="G292" s="89"/>
      <c r="H292" s="89"/>
      <c r="I292" s="89"/>
      <c r="J292" s="68"/>
      <c r="K292" s="89"/>
      <c r="L292" s="90"/>
      <c r="M292" s="20"/>
      <c r="N292" s="90"/>
      <c r="O292" s="90"/>
      <c r="P292" s="76"/>
      <c r="Q292" s="90"/>
      <c r="R292" s="89"/>
      <c r="S292" s="95"/>
    </row>
    <row r="293" spans="1:19" ht="25.5">
      <c r="A293" s="64" t="s">
        <v>738</v>
      </c>
      <c r="B293" s="65" t="s">
        <v>739</v>
      </c>
      <c r="C293" s="65" t="s">
        <v>200</v>
      </c>
      <c r="D293" s="72" t="s">
        <v>740</v>
      </c>
      <c r="E293" s="65" t="s">
        <v>253</v>
      </c>
      <c r="F293" s="65">
        <v>1</v>
      </c>
      <c r="G293" s="89"/>
      <c r="H293" s="89"/>
      <c r="I293" s="89"/>
      <c r="J293" s="68"/>
      <c r="K293" s="89"/>
      <c r="L293" s="90"/>
      <c r="M293" s="20"/>
      <c r="N293" s="90"/>
      <c r="O293" s="90"/>
      <c r="P293" s="76"/>
      <c r="Q293" s="90"/>
      <c r="R293" s="89"/>
      <c r="S293" s="95"/>
    </row>
    <row r="294" spans="1:19" ht="15">
      <c r="A294" s="64" t="s">
        <v>741</v>
      </c>
      <c r="B294" s="65" t="s">
        <v>742</v>
      </c>
      <c r="C294" s="65" t="s">
        <v>23</v>
      </c>
      <c r="D294" s="72" t="s">
        <v>743</v>
      </c>
      <c r="E294" s="65" t="s">
        <v>48</v>
      </c>
      <c r="F294" s="65">
        <v>24</v>
      </c>
      <c r="G294" s="89"/>
      <c r="H294" s="89"/>
      <c r="I294" s="89"/>
      <c r="J294" s="68"/>
      <c r="K294" s="89"/>
      <c r="L294" s="90"/>
      <c r="M294" s="20"/>
      <c r="N294" s="90"/>
      <c r="O294" s="90"/>
      <c r="P294" s="76"/>
      <c r="Q294" s="90"/>
      <c r="R294" s="89"/>
      <c r="S294" s="95"/>
    </row>
    <row r="295" spans="1:19" ht="15">
      <c r="A295" s="64" t="s">
        <v>744</v>
      </c>
      <c r="B295" s="65" t="s">
        <v>745</v>
      </c>
      <c r="C295" s="65" t="s">
        <v>23</v>
      </c>
      <c r="D295" s="72" t="s">
        <v>746</v>
      </c>
      <c r="E295" s="65" t="s">
        <v>48</v>
      </c>
      <c r="F295" s="65">
        <v>25</v>
      </c>
      <c r="G295" s="89"/>
      <c r="H295" s="89"/>
      <c r="I295" s="89"/>
      <c r="J295" s="68"/>
      <c r="K295" s="89"/>
      <c r="L295" s="90"/>
      <c r="M295" s="20"/>
      <c r="N295" s="90"/>
      <c r="O295" s="90"/>
      <c r="P295" s="76"/>
      <c r="Q295" s="90"/>
      <c r="R295" s="89"/>
      <c r="S295" s="95"/>
    </row>
    <row r="296" spans="1:19" ht="38.25">
      <c r="A296" s="64" t="s">
        <v>747</v>
      </c>
      <c r="B296" s="65" t="s">
        <v>748</v>
      </c>
      <c r="C296" s="65" t="s">
        <v>23</v>
      </c>
      <c r="D296" s="72" t="s">
        <v>749</v>
      </c>
      <c r="E296" s="65" t="s">
        <v>48</v>
      </c>
      <c r="F296" s="65">
        <v>68</v>
      </c>
      <c r="G296" s="89"/>
      <c r="H296" s="89"/>
      <c r="I296" s="89"/>
      <c r="J296" s="68"/>
      <c r="K296" s="89"/>
      <c r="L296" s="90"/>
      <c r="M296" s="20"/>
      <c r="N296" s="90"/>
      <c r="O296" s="90"/>
      <c r="P296" s="70"/>
      <c r="Q296" s="68"/>
      <c r="R296" s="89"/>
      <c r="S296" s="71"/>
    </row>
    <row r="297" spans="1:19" ht="38.25">
      <c r="A297" s="64" t="s">
        <v>750</v>
      </c>
      <c r="B297" s="65" t="s">
        <v>751</v>
      </c>
      <c r="C297" s="65" t="s">
        <v>23</v>
      </c>
      <c r="D297" s="72" t="s">
        <v>752</v>
      </c>
      <c r="E297" s="65" t="s">
        <v>48</v>
      </c>
      <c r="F297" s="65">
        <v>175</v>
      </c>
      <c r="G297" s="89"/>
      <c r="H297" s="89"/>
      <c r="I297" s="89"/>
      <c r="J297" s="68"/>
      <c r="K297" s="89"/>
      <c r="L297" s="90"/>
      <c r="M297" s="20"/>
      <c r="N297" s="90"/>
      <c r="O297" s="90"/>
      <c r="P297" s="76"/>
      <c r="Q297" s="90"/>
      <c r="R297" s="89"/>
      <c r="S297" s="95"/>
    </row>
    <row r="298" spans="1:19" ht="25.5">
      <c r="A298" s="64" t="s">
        <v>753</v>
      </c>
      <c r="B298" s="65" t="s">
        <v>754</v>
      </c>
      <c r="C298" s="65" t="s">
        <v>23</v>
      </c>
      <c r="D298" s="72" t="s">
        <v>755</v>
      </c>
      <c r="E298" s="65" t="s">
        <v>48</v>
      </c>
      <c r="F298" s="65">
        <v>20</v>
      </c>
      <c r="G298" s="89"/>
      <c r="H298" s="89"/>
      <c r="I298" s="89"/>
      <c r="J298" s="68"/>
      <c r="K298" s="89"/>
      <c r="L298" s="90"/>
      <c r="M298" s="20"/>
      <c r="N298" s="90"/>
      <c r="O298" s="90"/>
      <c r="P298" s="76"/>
      <c r="Q298" s="90"/>
      <c r="R298" s="89"/>
      <c r="S298" s="95"/>
    </row>
    <row r="299" spans="1:19" ht="25.5">
      <c r="A299" s="64" t="s">
        <v>756</v>
      </c>
      <c r="B299" s="65" t="s">
        <v>757</v>
      </c>
      <c r="C299" s="65" t="s">
        <v>23</v>
      </c>
      <c r="D299" s="72" t="s">
        <v>758</v>
      </c>
      <c r="E299" s="65" t="s">
        <v>48</v>
      </c>
      <c r="F299" s="65">
        <v>1</v>
      </c>
      <c r="G299" s="89"/>
      <c r="H299" s="89"/>
      <c r="I299" s="89"/>
      <c r="J299" s="68"/>
      <c r="K299" s="89"/>
      <c r="L299" s="90"/>
      <c r="M299" s="20"/>
      <c r="N299" s="90"/>
      <c r="O299" s="90"/>
      <c r="P299" s="76"/>
      <c r="Q299" s="90"/>
      <c r="R299" s="89"/>
      <c r="S299" s="95"/>
    </row>
    <row r="300" spans="1:19" ht="51">
      <c r="A300" s="64" t="s">
        <v>759</v>
      </c>
      <c r="B300" s="65" t="s">
        <v>760</v>
      </c>
      <c r="C300" s="65" t="s">
        <v>23</v>
      </c>
      <c r="D300" s="72" t="s">
        <v>761</v>
      </c>
      <c r="E300" s="65" t="s">
        <v>48</v>
      </c>
      <c r="F300" s="65">
        <v>11</v>
      </c>
      <c r="G300" s="89"/>
      <c r="H300" s="89"/>
      <c r="I300" s="89"/>
      <c r="J300" s="68"/>
      <c r="K300" s="89"/>
      <c r="L300" s="90"/>
      <c r="M300" s="20"/>
      <c r="N300" s="90"/>
      <c r="O300" s="90"/>
      <c r="P300" s="76"/>
      <c r="Q300" s="90"/>
      <c r="R300" s="89"/>
      <c r="S300" s="95"/>
    </row>
    <row r="301" spans="1:19" ht="51">
      <c r="A301" s="64" t="s">
        <v>762</v>
      </c>
      <c r="B301" s="65" t="s">
        <v>763</v>
      </c>
      <c r="C301" s="65" t="s">
        <v>23</v>
      </c>
      <c r="D301" s="72" t="s">
        <v>764</v>
      </c>
      <c r="E301" s="65" t="s">
        <v>48</v>
      </c>
      <c r="F301" s="65">
        <v>5</v>
      </c>
      <c r="G301" s="89"/>
      <c r="H301" s="89"/>
      <c r="I301" s="89"/>
      <c r="J301" s="68"/>
      <c r="K301" s="89"/>
      <c r="L301" s="90"/>
      <c r="M301" s="20"/>
      <c r="N301" s="90"/>
      <c r="O301" s="90"/>
      <c r="P301" s="70"/>
      <c r="Q301" s="68"/>
      <c r="R301" s="89"/>
      <c r="S301" s="71"/>
    </row>
    <row r="302" spans="1:19" ht="15">
      <c r="A302" s="64" t="s">
        <v>765</v>
      </c>
      <c r="B302" s="65" t="s">
        <v>766</v>
      </c>
      <c r="C302" s="65" t="s">
        <v>23</v>
      </c>
      <c r="D302" s="72" t="s">
        <v>767</v>
      </c>
      <c r="E302" s="65" t="s">
        <v>48</v>
      </c>
      <c r="F302" s="65">
        <v>2</v>
      </c>
      <c r="G302" s="89"/>
      <c r="H302" s="89"/>
      <c r="I302" s="89"/>
      <c r="J302" s="68"/>
      <c r="K302" s="89"/>
      <c r="L302" s="90"/>
      <c r="M302" s="20"/>
      <c r="N302" s="90"/>
      <c r="O302" s="90"/>
      <c r="P302" s="76"/>
      <c r="Q302" s="90"/>
      <c r="R302" s="89"/>
      <c r="S302" s="95"/>
    </row>
    <row r="303" spans="1:19" ht="15">
      <c r="A303" s="64" t="s">
        <v>768</v>
      </c>
      <c r="B303" s="65" t="s">
        <v>769</v>
      </c>
      <c r="C303" s="65" t="s">
        <v>6</v>
      </c>
      <c r="D303" s="72" t="s">
        <v>770</v>
      </c>
      <c r="E303" s="65" t="s">
        <v>253</v>
      </c>
      <c r="F303" s="65">
        <v>581</v>
      </c>
      <c r="G303" s="89"/>
      <c r="H303" s="89"/>
      <c r="I303" s="89"/>
      <c r="J303" s="68"/>
      <c r="K303" s="89"/>
      <c r="L303" s="90"/>
      <c r="M303" s="20"/>
      <c r="N303" s="90"/>
      <c r="O303" s="90"/>
      <c r="P303" s="76"/>
      <c r="Q303" s="90"/>
      <c r="R303" s="89"/>
      <c r="S303" s="95"/>
    </row>
    <row r="304" spans="1:19" ht="15">
      <c r="A304" s="64" t="s">
        <v>771</v>
      </c>
      <c r="B304" s="65" t="s">
        <v>772</v>
      </c>
      <c r="C304" s="65" t="s">
        <v>6</v>
      </c>
      <c r="D304" s="72" t="s">
        <v>773</v>
      </c>
      <c r="E304" s="65" t="s">
        <v>253</v>
      </c>
      <c r="F304" s="65">
        <v>581</v>
      </c>
      <c r="G304" s="89"/>
      <c r="H304" s="89"/>
      <c r="I304" s="89"/>
      <c r="J304" s="68"/>
      <c r="K304" s="89"/>
      <c r="L304" s="90"/>
      <c r="M304" s="20"/>
      <c r="N304" s="90"/>
      <c r="O304" s="90"/>
      <c r="P304" s="76"/>
      <c r="Q304" s="90"/>
      <c r="R304" s="89"/>
      <c r="S304" s="95"/>
    </row>
    <row r="305" spans="1:19" ht="15">
      <c r="A305" s="64" t="s">
        <v>774</v>
      </c>
      <c r="B305" s="65" t="s">
        <v>775</v>
      </c>
      <c r="C305" s="65" t="s">
        <v>23</v>
      </c>
      <c r="D305" s="72" t="s">
        <v>776</v>
      </c>
      <c r="E305" s="65" t="s">
        <v>48</v>
      </c>
      <c r="F305" s="65">
        <v>55</v>
      </c>
      <c r="G305" s="89"/>
      <c r="H305" s="89"/>
      <c r="I305" s="89"/>
      <c r="J305" s="68"/>
      <c r="K305" s="89"/>
      <c r="L305" s="90"/>
      <c r="M305" s="20"/>
      <c r="N305" s="90"/>
      <c r="O305" s="90"/>
      <c r="P305" s="76"/>
      <c r="Q305" s="90"/>
      <c r="R305" s="89"/>
      <c r="S305" s="95"/>
    </row>
    <row r="306" spans="1:19" ht="25.5">
      <c r="A306" s="64" t="s">
        <v>777</v>
      </c>
      <c r="B306" s="65" t="s">
        <v>778</v>
      </c>
      <c r="C306" s="65" t="s">
        <v>23</v>
      </c>
      <c r="D306" s="72" t="s">
        <v>779</v>
      </c>
      <c r="E306" s="65" t="s">
        <v>48</v>
      </c>
      <c r="F306" s="65">
        <v>11</v>
      </c>
      <c r="G306" s="89"/>
      <c r="H306" s="89"/>
      <c r="I306" s="89"/>
      <c r="J306" s="68"/>
      <c r="K306" s="89"/>
      <c r="L306" s="90"/>
      <c r="M306" s="20"/>
      <c r="N306" s="90"/>
      <c r="O306" s="90"/>
      <c r="P306" s="76"/>
      <c r="Q306" s="90"/>
      <c r="R306" s="89"/>
      <c r="S306" s="95"/>
    </row>
    <row r="307" spans="1:19" ht="25.5">
      <c r="A307" s="64" t="s">
        <v>780</v>
      </c>
      <c r="B307" s="65" t="s">
        <v>781</v>
      </c>
      <c r="C307" s="65" t="s">
        <v>23</v>
      </c>
      <c r="D307" s="72" t="s">
        <v>782</v>
      </c>
      <c r="E307" s="65" t="s">
        <v>107</v>
      </c>
      <c r="F307" s="65">
        <v>270</v>
      </c>
      <c r="G307" s="89"/>
      <c r="H307" s="89"/>
      <c r="I307" s="89"/>
      <c r="J307" s="68"/>
      <c r="K307" s="89"/>
      <c r="L307" s="90"/>
      <c r="M307" s="20"/>
      <c r="N307" s="90"/>
      <c r="O307" s="90"/>
      <c r="P307" s="76"/>
      <c r="Q307" s="90"/>
      <c r="R307" s="89"/>
      <c r="S307" s="95"/>
    </row>
    <row r="308" spans="1:19" ht="25.5">
      <c r="A308" s="64" t="s">
        <v>783</v>
      </c>
      <c r="B308" s="65" t="s">
        <v>784</v>
      </c>
      <c r="C308" s="65" t="s">
        <v>23</v>
      </c>
      <c r="D308" s="72" t="s">
        <v>785</v>
      </c>
      <c r="E308" s="65" t="s">
        <v>107</v>
      </c>
      <c r="F308" s="65">
        <v>3</v>
      </c>
      <c r="G308" s="89"/>
      <c r="H308" s="89"/>
      <c r="I308" s="89"/>
      <c r="J308" s="68"/>
      <c r="K308" s="89"/>
      <c r="L308" s="90"/>
      <c r="M308" s="20"/>
      <c r="N308" s="90"/>
      <c r="O308" s="90"/>
      <c r="P308" s="76"/>
      <c r="Q308" s="90"/>
      <c r="R308" s="89"/>
      <c r="S308" s="95"/>
    </row>
    <row r="309" spans="1:19" ht="25.5">
      <c r="A309" s="64" t="s">
        <v>786</v>
      </c>
      <c r="B309" s="65" t="s">
        <v>787</v>
      </c>
      <c r="C309" s="65" t="s">
        <v>23</v>
      </c>
      <c r="D309" s="72" t="s">
        <v>788</v>
      </c>
      <c r="E309" s="65" t="s">
        <v>107</v>
      </c>
      <c r="F309" s="65">
        <v>15</v>
      </c>
      <c r="G309" s="89"/>
      <c r="H309" s="89"/>
      <c r="I309" s="89"/>
      <c r="J309" s="68"/>
      <c r="K309" s="89"/>
      <c r="L309" s="90"/>
      <c r="M309" s="20"/>
      <c r="N309" s="90"/>
      <c r="O309" s="90"/>
      <c r="P309" s="76"/>
      <c r="Q309" s="90"/>
      <c r="R309" s="89"/>
      <c r="S309" s="95"/>
    </row>
    <row r="310" spans="1:19" ht="25.5">
      <c r="A310" s="64" t="s">
        <v>789</v>
      </c>
      <c r="B310" s="65" t="s">
        <v>790</v>
      </c>
      <c r="C310" s="65" t="s">
        <v>23</v>
      </c>
      <c r="D310" s="72" t="s">
        <v>791</v>
      </c>
      <c r="E310" s="65" t="s">
        <v>107</v>
      </c>
      <c r="F310" s="65">
        <v>30</v>
      </c>
      <c r="G310" s="89"/>
      <c r="H310" s="89"/>
      <c r="I310" s="89"/>
      <c r="J310" s="68"/>
      <c r="K310" s="89"/>
      <c r="L310" s="90"/>
      <c r="M310" s="20"/>
      <c r="N310" s="90"/>
      <c r="O310" s="90"/>
      <c r="P310" s="76"/>
      <c r="Q310" s="90"/>
      <c r="R310" s="89"/>
      <c r="S310" s="95"/>
    </row>
    <row r="311" spans="1:19" ht="25.5">
      <c r="A311" s="64" t="s">
        <v>792</v>
      </c>
      <c r="B311" s="65" t="s">
        <v>793</v>
      </c>
      <c r="C311" s="65" t="s">
        <v>23</v>
      </c>
      <c r="D311" s="72" t="s">
        <v>794</v>
      </c>
      <c r="E311" s="65" t="s">
        <v>107</v>
      </c>
      <c r="F311" s="65">
        <v>96</v>
      </c>
      <c r="G311" s="89"/>
      <c r="H311" s="89"/>
      <c r="I311" s="89"/>
      <c r="J311" s="68"/>
      <c r="K311" s="89"/>
      <c r="L311" s="90"/>
      <c r="M311" s="20"/>
      <c r="N311" s="90"/>
      <c r="O311" s="90"/>
      <c r="P311" s="76"/>
      <c r="Q311" s="90"/>
      <c r="R311" s="89"/>
      <c r="S311" s="95"/>
    </row>
    <row r="312" spans="1:19" ht="25.5">
      <c r="A312" s="64" t="s">
        <v>795</v>
      </c>
      <c r="B312" s="65" t="s">
        <v>796</v>
      </c>
      <c r="C312" s="65" t="s">
        <v>23</v>
      </c>
      <c r="D312" s="72" t="s">
        <v>797</v>
      </c>
      <c r="E312" s="65" t="s">
        <v>107</v>
      </c>
      <c r="F312" s="65">
        <v>485</v>
      </c>
      <c r="G312" s="89"/>
      <c r="H312" s="89"/>
      <c r="I312" s="89"/>
      <c r="J312" s="68"/>
      <c r="K312" s="89"/>
      <c r="L312" s="90"/>
      <c r="M312" s="20">
        <v>140.4</v>
      </c>
      <c r="N312" s="90"/>
      <c r="O312" s="90"/>
      <c r="P312" s="70" t="s">
        <v>1972</v>
      </c>
      <c r="Q312" s="68">
        <f>F312</f>
        <v>485</v>
      </c>
      <c r="R312" s="89" t="s">
        <v>2523</v>
      </c>
      <c r="S312" s="71">
        <f>F312+J312-K312+M312</f>
        <v>625.4</v>
      </c>
    </row>
    <row r="313" spans="1:19" ht="25.5">
      <c r="A313" s="64" t="s">
        <v>798</v>
      </c>
      <c r="B313" s="65" t="s">
        <v>799</v>
      </c>
      <c r="C313" s="65" t="s">
        <v>23</v>
      </c>
      <c r="D313" s="72" t="s">
        <v>800</v>
      </c>
      <c r="E313" s="65" t="s">
        <v>107</v>
      </c>
      <c r="F313" s="65">
        <v>40</v>
      </c>
      <c r="G313" s="89"/>
      <c r="H313" s="89"/>
      <c r="I313" s="89"/>
      <c r="J313" s="68"/>
      <c r="K313" s="89"/>
      <c r="L313" s="90"/>
      <c r="M313" s="20"/>
      <c r="N313" s="90"/>
      <c r="O313" s="90"/>
      <c r="P313" s="76"/>
      <c r="Q313" s="90"/>
      <c r="R313" s="89"/>
      <c r="S313" s="95"/>
    </row>
    <row r="314" spans="1:19" ht="25.5">
      <c r="A314" s="64" t="s">
        <v>801</v>
      </c>
      <c r="B314" s="65" t="s">
        <v>802</v>
      </c>
      <c r="C314" s="65" t="s">
        <v>23</v>
      </c>
      <c r="D314" s="72" t="s">
        <v>803</v>
      </c>
      <c r="E314" s="65" t="s">
        <v>107</v>
      </c>
      <c r="F314" s="65">
        <v>4070</v>
      </c>
      <c r="G314" s="89"/>
      <c r="H314" s="89"/>
      <c r="I314" s="89"/>
      <c r="J314" s="68"/>
      <c r="K314" s="89"/>
      <c r="L314" s="90"/>
      <c r="M314" s="20"/>
      <c r="N314" s="90"/>
      <c r="O314" s="90"/>
      <c r="P314" s="70"/>
      <c r="Q314" s="68"/>
      <c r="R314" s="89"/>
      <c r="S314" s="71"/>
    </row>
    <row r="315" spans="1:19" ht="25.5">
      <c r="A315" s="64" t="s">
        <v>804</v>
      </c>
      <c r="B315" s="65" t="s">
        <v>805</v>
      </c>
      <c r="C315" s="65" t="s">
        <v>23</v>
      </c>
      <c r="D315" s="72" t="s">
        <v>806</v>
      </c>
      <c r="E315" s="65" t="s">
        <v>107</v>
      </c>
      <c r="F315" s="65">
        <v>2</v>
      </c>
      <c r="G315" s="89"/>
      <c r="H315" s="89"/>
      <c r="I315" s="89"/>
      <c r="J315" s="68"/>
      <c r="K315" s="89"/>
      <c r="L315" s="90"/>
      <c r="M315" s="20"/>
      <c r="N315" s="90"/>
      <c r="O315" s="90"/>
      <c r="P315" s="70"/>
      <c r="Q315" s="68"/>
      <c r="R315" s="89"/>
      <c r="S315" s="71"/>
    </row>
    <row r="316" spans="1:19" ht="25.5">
      <c r="A316" s="64" t="s">
        <v>807</v>
      </c>
      <c r="B316" s="65" t="s">
        <v>808</v>
      </c>
      <c r="C316" s="65" t="s">
        <v>23</v>
      </c>
      <c r="D316" s="72" t="s">
        <v>809</v>
      </c>
      <c r="E316" s="65" t="s">
        <v>107</v>
      </c>
      <c r="F316" s="65">
        <v>500</v>
      </c>
      <c r="G316" s="89"/>
      <c r="H316" s="89"/>
      <c r="I316" s="89"/>
      <c r="J316" s="68"/>
      <c r="K316" s="89"/>
      <c r="L316" s="90"/>
      <c r="M316" s="20">
        <v>705.9</v>
      </c>
      <c r="N316" s="90"/>
      <c r="O316" s="90"/>
      <c r="P316" s="70" t="s">
        <v>1972</v>
      </c>
      <c r="Q316" s="68">
        <f>F316</f>
        <v>500</v>
      </c>
      <c r="R316" s="89" t="s">
        <v>2524</v>
      </c>
      <c r="S316" s="71">
        <f>F316+J316-K316+M316</f>
        <v>1205.9000000000001</v>
      </c>
    </row>
    <row r="317" spans="1:19" ht="25.5">
      <c r="A317" s="64" t="s">
        <v>810</v>
      </c>
      <c r="B317" s="65" t="s">
        <v>811</v>
      </c>
      <c r="C317" s="65" t="s">
        <v>23</v>
      </c>
      <c r="D317" s="72" t="s">
        <v>812</v>
      </c>
      <c r="E317" s="65" t="s">
        <v>107</v>
      </c>
      <c r="F317" s="65">
        <v>250</v>
      </c>
      <c r="G317" s="89"/>
      <c r="H317" s="89"/>
      <c r="I317" s="89"/>
      <c r="J317" s="68"/>
      <c r="K317" s="89"/>
      <c r="L317" s="90"/>
      <c r="M317" s="20"/>
      <c r="N317" s="90"/>
      <c r="O317" s="90"/>
      <c r="P317" s="76"/>
      <c r="Q317" s="90"/>
      <c r="R317" s="89"/>
      <c r="S317" s="95"/>
    </row>
    <row r="318" spans="1:19" ht="25.5">
      <c r="A318" s="64" t="s">
        <v>813</v>
      </c>
      <c r="B318" s="65" t="s">
        <v>814</v>
      </c>
      <c r="C318" s="65" t="s">
        <v>23</v>
      </c>
      <c r="D318" s="72" t="s">
        <v>815</v>
      </c>
      <c r="E318" s="65" t="s">
        <v>107</v>
      </c>
      <c r="F318" s="65">
        <v>452</v>
      </c>
      <c r="G318" s="89"/>
      <c r="H318" s="89"/>
      <c r="I318" s="89"/>
      <c r="J318" s="68"/>
      <c r="K318" s="89"/>
      <c r="L318" s="90"/>
      <c r="M318" s="20">
        <v>674.6</v>
      </c>
      <c r="N318" s="90"/>
      <c r="O318" s="90"/>
      <c r="P318" s="70" t="s">
        <v>1972</v>
      </c>
      <c r="Q318" s="68">
        <f>F318</f>
        <v>452</v>
      </c>
      <c r="R318" s="89" t="s">
        <v>2491</v>
      </c>
      <c r="S318" s="71">
        <f>F318+J318-K318+M318</f>
        <v>1126.5999999999999</v>
      </c>
    </row>
    <row r="319" spans="1:19" ht="25.5">
      <c r="A319" s="64" t="s">
        <v>816</v>
      </c>
      <c r="B319" s="65" t="s">
        <v>817</v>
      </c>
      <c r="C319" s="65" t="s">
        <v>23</v>
      </c>
      <c r="D319" s="72" t="s">
        <v>818</v>
      </c>
      <c r="E319" s="65" t="s">
        <v>107</v>
      </c>
      <c r="F319" s="65">
        <v>360</v>
      </c>
      <c r="G319" s="89"/>
      <c r="H319" s="89"/>
      <c r="I319" s="89"/>
      <c r="J319" s="68"/>
      <c r="K319" s="89"/>
      <c r="L319" s="90"/>
      <c r="M319" s="20"/>
      <c r="N319" s="90"/>
      <c r="O319" s="90"/>
      <c r="P319" s="76"/>
      <c r="Q319" s="90"/>
      <c r="R319" s="89"/>
      <c r="S319" s="95"/>
    </row>
    <row r="320" spans="1:19" ht="25.5">
      <c r="A320" s="64" t="s">
        <v>819</v>
      </c>
      <c r="B320" s="65" t="s">
        <v>820</v>
      </c>
      <c r="C320" s="65" t="s">
        <v>23</v>
      </c>
      <c r="D320" s="72" t="s">
        <v>821</v>
      </c>
      <c r="E320" s="65" t="s">
        <v>107</v>
      </c>
      <c r="F320" s="65">
        <v>15</v>
      </c>
      <c r="G320" s="89"/>
      <c r="H320" s="89"/>
      <c r="I320" s="89"/>
      <c r="J320" s="68"/>
      <c r="K320" s="89"/>
      <c r="L320" s="90"/>
      <c r="M320" s="20"/>
      <c r="N320" s="90"/>
      <c r="O320" s="90"/>
      <c r="P320" s="76"/>
      <c r="Q320" s="90"/>
      <c r="R320" s="89"/>
      <c r="S320" s="95"/>
    </row>
    <row r="321" spans="1:19" ht="25.5">
      <c r="A321" s="64" t="s">
        <v>822</v>
      </c>
      <c r="B321" s="65" t="s">
        <v>823</v>
      </c>
      <c r="C321" s="65" t="s">
        <v>23</v>
      </c>
      <c r="D321" s="72" t="s">
        <v>824</v>
      </c>
      <c r="E321" s="65" t="s">
        <v>107</v>
      </c>
      <c r="F321" s="65">
        <v>20</v>
      </c>
      <c r="G321" s="89"/>
      <c r="H321" s="89"/>
      <c r="I321" s="89"/>
      <c r="J321" s="68"/>
      <c r="K321" s="89"/>
      <c r="L321" s="90"/>
      <c r="M321" s="20"/>
      <c r="N321" s="90"/>
      <c r="O321" s="90"/>
      <c r="P321" s="76"/>
      <c r="Q321" s="90"/>
      <c r="R321" s="89"/>
      <c r="S321" s="95"/>
    </row>
    <row r="322" spans="1:19" ht="25.5">
      <c r="A322" s="64" t="s">
        <v>825</v>
      </c>
      <c r="B322" s="65" t="s">
        <v>826</v>
      </c>
      <c r="C322" s="65" t="s">
        <v>23</v>
      </c>
      <c r="D322" s="72" t="s">
        <v>827</v>
      </c>
      <c r="E322" s="65" t="s">
        <v>107</v>
      </c>
      <c r="F322" s="65">
        <v>44</v>
      </c>
      <c r="G322" s="89"/>
      <c r="H322" s="89"/>
      <c r="I322" s="89"/>
      <c r="J322" s="68"/>
      <c r="K322" s="89"/>
      <c r="L322" s="90"/>
      <c r="M322" s="20">
        <v>176.2</v>
      </c>
      <c r="N322" s="90"/>
      <c r="O322" s="90"/>
      <c r="P322" s="70" t="s">
        <v>1972</v>
      </c>
      <c r="Q322" s="68">
        <f>F322</f>
        <v>44</v>
      </c>
      <c r="R322" s="89" t="s">
        <v>2492</v>
      </c>
      <c r="S322" s="71">
        <f>F322+J322-K322+M322</f>
        <v>220.2</v>
      </c>
    </row>
    <row r="323" spans="1:19" ht="51">
      <c r="A323" s="64" t="s">
        <v>828</v>
      </c>
      <c r="B323" s="65" t="s">
        <v>829</v>
      </c>
      <c r="C323" s="65" t="s">
        <v>23</v>
      </c>
      <c r="D323" s="72" t="s">
        <v>830</v>
      </c>
      <c r="E323" s="65" t="s">
        <v>107</v>
      </c>
      <c r="F323" s="65">
        <v>255</v>
      </c>
      <c r="G323" s="89"/>
      <c r="H323" s="89"/>
      <c r="I323" s="89"/>
      <c r="J323" s="68"/>
      <c r="K323" s="89"/>
      <c r="L323" s="90"/>
      <c r="M323" s="20"/>
      <c r="N323" s="90"/>
      <c r="O323" s="90"/>
      <c r="P323" s="76"/>
      <c r="Q323" s="90"/>
      <c r="R323" s="89"/>
      <c r="S323" s="95"/>
    </row>
    <row r="324" spans="1:19" ht="51">
      <c r="A324" s="64" t="s">
        <v>831</v>
      </c>
      <c r="B324" s="65" t="s">
        <v>832</v>
      </c>
      <c r="C324" s="65" t="s">
        <v>23</v>
      </c>
      <c r="D324" s="72" t="s">
        <v>833</v>
      </c>
      <c r="E324" s="65" t="s">
        <v>107</v>
      </c>
      <c r="F324" s="65">
        <v>35</v>
      </c>
      <c r="G324" s="89"/>
      <c r="H324" s="89"/>
      <c r="I324" s="89"/>
      <c r="J324" s="68"/>
      <c r="K324" s="89"/>
      <c r="L324" s="90"/>
      <c r="M324" s="20"/>
      <c r="N324" s="90"/>
      <c r="O324" s="90"/>
      <c r="P324" s="76"/>
      <c r="Q324" s="90"/>
      <c r="R324" s="89"/>
      <c r="S324" s="95"/>
    </row>
    <row r="325" spans="1:19" ht="38.25">
      <c r="A325" s="64" t="s">
        <v>834</v>
      </c>
      <c r="B325" s="65" t="s">
        <v>835</v>
      </c>
      <c r="C325" s="65" t="s">
        <v>200</v>
      </c>
      <c r="D325" s="72" t="s">
        <v>836</v>
      </c>
      <c r="E325" s="65" t="s">
        <v>48</v>
      </c>
      <c r="F325" s="65">
        <v>50</v>
      </c>
      <c r="G325" s="89"/>
      <c r="H325" s="89"/>
      <c r="I325" s="89"/>
      <c r="J325" s="68"/>
      <c r="K325" s="89"/>
      <c r="L325" s="90"/>
      <c r="M325" s="20">
        <v>250</v>
      </c>
      <c r="N325" s="90"/>
      <c r="O325" s="90"/>
      <c r="P325" s="70" t="s">
        <v>1972</v>
      </c>
      <c r="Q325" s="68">
        <f>F325</f>
        <v>50</v>
      </c>
      <c r="R325" s="89" t="s">
        <v>2519</v>
      </c>
      <c r="S325" s="71">
        <f>F325+J325-K325+M325</f>
        <v>300</v>
      </c>
    </row>
    <row r="326" spans="1:19" ht="25.5">
      <c r="A326" s="64" t="s">
        <v>837</v>
      </c>
      <c r="B326" s="65" t="s">
        <v>838</v>
      </c>
      <c r="C326" s="65" t="s">
        <v>23</v>
      </c>
      <c r="D326" s="72" t="s">
        <v>839</v>
      </c>
      <c r="E326" s="65" t="s">
        <v>107</v>
      </c>
      <c r="F326" s="65">
        <v>720</v>
      </c>
      <c r="G326" s="89"/>
      <c r="H326" s="89"/>
      <c r="I326" s="89"/>
      <c r="J326" s="68"/>
      <c r="K326" s="89"/>
      <c r="L326" s="90"/>
      <c r="M326" s="20"/>
      <c r="N326" s="90"/>
      <c r="O326" s="90"/>
      <c r="P326" s="76"/>
      <c r="Q326" s="90"/>
      <c r="R326" s="89"/>
      <c r="S326" s="95"/>
    </row>
    <row r="327" spans="1:19" ht="25.5">
      <c r="A327" s="64" t="s">
        <v>840</v>
      </c>
      <c r="B327" s="65" t="s">
        <v>841</v>
      </c>
      <c r="C327" s="65" t="s">
        <v>23</v>
      </c>
      <c r="D327" s="72" t="s">
        <v>842</v>
      </c>
      <c r="E327" s="65" t="s">
        <v>107</v>
      </c>
      <c r="F327" s="65">
        <v>24900</v>
      </c>
      <c r="G327" s="89"/>
      <c r="H327" s="89"/>
      <c r="I327" s="89"/>
      <c r="J327" s="68"/>
      <c r="K327" s="89"/>
      <c r="L327" s="90"/>
      <c r="M327" s="20"/>
      <c r="N327" s="90"/>
      <c r="O327" s="90"/>
      <c r="P327" s="70"/>
      <c r="Q327" s="68"/>
      <c r="R327" s="89"/>
      <c r="S327" s="71"/>
    </row>
    <row r="328" spans="1:19" ht="25.5">
      <c r="A328" s="64" t="s">
        <v>843</v>
      </c>
      <c r="B328" s="65" t="s">
        <v>844</v>
      </c>
      <c r="C328" s="65" t="s">
        <v>23</v>
      </c>
      <c r="D328" s="72" t="s">
        <v>845</v>
      </c>
      <c r="E328" s="65" t="s">
        <v>107</v>
      </c>
      <c r="F328" s="65">
        <v>332</v>
      </c>
      <c r="G328" s="89"/>
      <c r="H328" s="89"/>
      <c r="I328" s="89"/>
      <c r="J328" s="68"/>
      <c r="K328" s="89"/>
      <c r="L328" s="90"/>
      <c r="M328" s="20"/>
      <c r="N328" s="90"/>
      <c r="O328" s="90"/>
      <c r="P328" s="76"/>
      <c r="Q328" s="90"/>
      <c r="R328" s="89"/>
      <c r="S328" s="95"/>
    </row>
    <row r="329" spans="1:19" ht="25.5">
      <c r="A329" s="64" t="s">
        <v>846</v>
      </c>
      <c r="B329" s="65" t="s">
        <v>847</v>
      </c>
      <c r="C329" s="65" t="s">
        <v>23</v>
      </c>
      <c r="D329" s="72" t="s">
        <v>848</v>
      </c>
      <c r="E329" s="65" t="s">
        <v>107</v>
      </c>
      <c r="F329" s="65">
        <v>400</v>
      </c>
      <c r="G329" s="89"/>
      <c r="H329" s="89"/>
      <c r="I329" s="89"/>
      <c r="J329" s="68"/>
      <c r="K329" s="89"/>
      <c r="L329" s="90"/>
      <c r="M329" s="20"/>
      <c r="N329" s="90"/>
      <c r="O329" s="90"/>
      <c r="P329" s="76"/>
      <c r="Q329" s="90"/>
      <c r="R329" s="89"/>
      <c r="S329" s="95"/>
    </row>
    <row r="330" spans="1:19" ht="25.5">
      <c r="A330" s="64" t="s">
        <v>849</v>
      </c>
      <c r="B330" s="65" t="s">
        <v>850</v>
      </c>
      <c r="C330" s="65" t="s">
        <v>23</v>
      </c>
      <c r="D330" s="72" t="s">
        <v>851</v>
      </c>
      <c r="E330" s="65" t="s">
        <v>107</v>
      </c>
      <c r="F330" s="65">
        <v>6100</v>
      </c>
      <c r="G330" s="89"/>
      <c r="H330" s="89"/>
      <c r="I330" s="89"/>
      <c r="J330" s="68"/>
      <c r="K330" s="89"/>
      <c r="L330" s="90"/>
      <c r="M330" s="20"/>
      <c r="N330" s="90"/>
      <c r="O330" s="90"/>
      <c r="P330" s="70"/>
      <c r="Q330" s="68"/>
      <c r="R330" s="89"/>
      <c r="S330" s="71"/>
    </row>
    <row r="331" spans="1:19" ht="25.5">
      <c r="A331" s="64" t="s">
        <v>852</v>
      </c>
      <c r="B331" s="65" t="s">
        <v>853</v>
      </c>
      <c r="C331" s="65" t="s">
        <v>23</v>
      </c>
      <c r="D331" s="72" t="s">
        <v>854</v>
      </c>
      <c r="E331" s="65" t="s">
        <v>107</v>
      </c>
      <c r="F331" s="65">
        <v>730</v>
      </c>
      <c r="G331" s="89"/>
      <c r="H331" s="89"/>
      <c r="I331" s="89"/>
      <c r="J331" s="68"/>
      <c r="K331" s="89"/>
      <c r="L331" s="90"/>
      <c r="M331" s="20"/>
      <c r="N331" s="90"/>
      <c r="O331" s="90"/>
      <c r="P331" s="70"/>
      <c r="Q331" s="68"/>
      <c r="R331" s="89"/>
      <c r="S331" s="71"/>
    </row>
    <row r="332" spans="1:19" ht="25.5">
      <c r="A332" s="64" t="s">
        <v>855</v>
      </c>
      <c r="B332" s="65" t="s">
        <v>856</v>
      </c>
      <c r="C332" s="65" t="s">
        <v>23</v>
      </c>
      <c r="D332" s="72" t="s">
        <v>857</v>
      </c>
      <c r="E332" s="65" t="s">
        <v>48</v>
      </c>
      <c r="F332" s="65">
        <v>72</v>
      </c>
      <c r="G332" s="89"/>
      <c r="H332" s="89"/>
      <c r="I332" s="89"/>
      <c r="J332" s="68"/>
      <c r="K332" s="89"/>
      <c r="L332" s="90"/>
      <c r="M332" s="20"/>
      <c r="N332" s="90"/>
      <c r="O332" s="90"/>
      <c r="P332" s="76"/>
      <c r="Q332" s="90"/>
      <c r="R332" s="89"/>
      <c r="S332" s="95"/>
    </row>
    <row r="333" spans="1:19" ht="38.25">
      <c r="A333" s="64" t="s">
        <v>858</v>
      </c>
      <c r="B333" s="65" t="s">
        <v>859</v>
      </c>
      <c r="C333" s="65" t="s">
        <v>133</v>
      </c>
      <c r="D333" s="72" t="s">
        <v>860</v>
      </c>
      <c r="E333" s="65" t="s">
        <v>253</v>
      </c>
      <c r="F333" s="65">
        <v>9</v>
      </c>
      <c r="G333" s="89"/>
      <c r="H333" s="89"/>
      <c r="I333" s="89"/>
      <c r="J333" s="68"/>
      <c r="K333" s="89"/>
      <c r="L333" s="90"/>
      <c r="M333" s="20"/>
      <c r="N333" s="90"/>
      <c r="O333" s="90"/>
      <c r="P333" s="76"/>
      <c r="Q333" s="90"/>
      <c r="R333" s="89"/>
      <c r="S333" s="95"/>
    </row>
    <row r="334" spans="1:19" ht="25.5">
      <c r="A334" s="64" t="s">
        <v>861</v>
      </c>
      <c r="B334" s="65" t="s">
        <v>862</v>
      </c>
      <c r="C334" s="65" t="s">
        <v>133</v>
      </c>
      <c r="D334" s="72" t="s">
        <v>863</v>
      </c>
      <c r="E334" s="65" t="s">
        <v>253</v>
      </c>
      <c r="F334" s="65">
        <v>6</v>
      </c>
      <c r="G334" s="89"/>
      <c r="H334" s="89"/>
      <c r="I334" s="89"/>
      <c r="J334" s="68"/>
      <c r="K334" s="89"/>
      <c r="L334" s="90"/>
      <c r="M334" s="20"/>
      <c r="N334" s="90"/>
      <c r="O334" s="90"/>
      <c r="P334" s="76"/>
      <c r="Q334" s="90"/>
      <c r="R334" s="89"/>
      <c r="S334" s="95"/>
    </row>
    <row r="335" spans="1:19" ht="25.5">
      <c r="A335" s="64" t="s">
        <v>864</v>
      </c>
      <c r="B335" s="65" t="s">
        <v>865</v>
      </c>
      <c r="C335" s="65" t="s">
        <v>133</v>
      </c>
      <c r="D335" s="72" t="s">
        <v>866</v>
      </c>
      <c r="E335" s="65" t="s">
        <v>253</v>
      </c>
      <c r="F335" s="65">
        <v>120</v>
      </c>
      <c r="G335" s="89"/>
      <c r="H335" s="89"/>
      <c r="I335" s="89"/>
      <c r="J335" s="68"/>
      <c r="K335" s="89"/>
      <c r="L335" s="90"/>
      <c r="M335" s="20"/>
      <c r="N335" s="90"/>
      <c r="O335" s="90"/>
      <c r="P335" s="76"/>
      <c r="Q335" s="90"/>
      <c r="R335" s="89"/>
      <c r="S335" s="95"/>
    </row>
    <row r="336" spans="1:19" ht="38.25">
      <c r="A336" s="64" t="s">
        <v>867</v>
      </c>
      <c r="B336" s="65" t="s">
        <v>549</v>
      </c>
      <c r="C336" s="65" t="s">
        <v>133</v>
      </c>
      <c r="D336" s="72" t="s">
        <v>550</v>
      </c>
      <c r="E336" s="65" t="s">
        <v>253</v>
      </c>
      <c r="F336" s="65">
        <v>6</v>
      </c>
      <c r="G336" s="89"/>
      <c r="H336" s="89"/>
      <c r="I336" s="89"/>
      <c r="J336" s="68"/>
      <c r="K336" s="89"/>
      <c r="L336" s="90"/>
      <c r="M336" s="20"/>
      <c r="N336" s="90"/>
      <c r="O336" s="90"/>
      <c r="P336" s="76"/>
      <c r="Q336" s="90"/>
      <c r="R336" s="89"/>
      <c r="S336" s="95"/>
    </row>
    <row r="337" spans="1:19" ht="25.5">
      <c r="A337" s="64" t="s">
        <v>868</v>
      </c>
      <c r="B337" s="65" t="s">
        <v>552</v>
      </c>
      <c r="C337" s="65" t="s">
        <v>133</v>
      </c>
      <c r="D337" s="72" t="s">
        <v>553</v>
      </c>
      <c r="E337" s="65" t="s">
        <v>253</v>
      </c>
      <c r="F337" s="65">
        <v>7</v>
      </c>
      <c r="G337" s="89"/>
      <c r="H337" s="89"/>
      <c r="I337" s="89"/>
      <c r="J337" s="68"/>
      <c r="K337" s="89"/>
      <c r="L337" s="90"/>
      <c r="M337" s="20"/>
      <c r="N337" s="90"/>
      <c r="O337" s="90"/>
      <c r="P337" s="76"/>
      <c r="Q337" s="90"/>
      <c r="R337" s="89"/>
      <c r="S337" s="95"/>
    </row>
    <row r="338" spans="1:19" ht="25.5">
      <c r="A338" s="64" t="s">
        <v>869</v>
      </c>
      <c r="B338" s="65" t="s">
        <v>870</v>
      </c>
      <c r="C338" s="65" t="s">
        <v>133</v>
      </c>
      <c r="D338" s="72" t="s">
        <v>871</v>
      </c>
      <c r="E338" s="65" t="s">
        <v>253</v>
      </c>
      <c r="F338" s="65">
        <v>13</v>
      </c>
      <c r="G338" s="89"/>
      <c r="H338" s="89"/>
      <c r="I338" s="89"/>
      <c r="J338" s="68"/>
      <c r="K338" s="89"/>
      <c r="L338" s="90"/>
      <c r="M338" s="20"/>
      <c r="N338" s="90"/>
      <c r="O338" s="90"/>
      <c r="P338" s="76"/>
      <c r="Q338" s="90"/>
      <c r="R338" s="89"/>
      <c r="S338" s="95"/>
    </row>
    <row r="339" spans="1:19" ht="25.5">
      <c r="A339" s="64" t="s">
        <v>872</v>
      </c>
      <c r="B339" s="65" t="s">
        <v>873</v>
      </c>
      <c r="C339" s="65" t="s">
        <v>200</v>
      </c>
      <c r="D339" s="72" t="s">
        <v>874</v>
      </c>
      <c r="E339" s="65" t="s">
        <v>253</v>
      </c>
      <c r="F339" s="65">
        <v>9</v>
      </c>
      <c r="G339" s="89"/>
      <c r="H339" s="89"/>
      <c r="I339" s="89"/>
      <c r="J339" s="68"/>
      <c r="K339" s="89"/>
      <c r="L339" s="90"/>
      <c r="M339" s="20"/>
      <c r="N339" s="90"/>
      <c r="O339" s="90"/>
      <c r="P339" s="76"/>
      <c r="Q339" s="90"/>
      <c r="R339" s="89"/>
      <c r="S339" s="95"/>
    </row>
    <row r="340" spans="1:19" ht="25.5">
      <c r="A340" s="64" t="s">
        <v>875</v>
      </c>
      <c r="B340" s="65" t="s">
        <v>876</v>
      </c>
      <c r="C340" s="65" t="s">
        <v>200</v>
      </c>
      <c r="D340" s="72" t="s">
        <v>877</v>
      </c>
      <c r="E340" s="65" t="s">
        <v>253</v>
      </c>
      <c r="F340" s="65">
        <v>27</v>
      </c>
      <c r="G340" s="89"/>
      <c r="H340" s="89"/>
      <c r="I340" s="89"/>
      <c r="J340" s="68"/>
      <c r="K340" s="89"/>
      <c r="L340" s="90"/>
      <c r="M340" s="20"/>
      <c r="N340" s="90"/>
      <c r="O340" s="90"/>
      <c r="P340" s="70"/>
      <c r="Q340" s="68"/>
      <c r="R340" s="89"/>
      <c r="S340" s="71"/>
    </row>
    <row r="341" spans="1:19" ht="25.5">
      <c r="A341" s="64" t="s">
        <v>878</v>
      </c>
      <c r="B341" s="65" t="s">
        <v>879</v>
      </c>
      <c r="C341" s="65" t="s">
        <v>200</v>
      </c>
      <c r="D341" s="72" t="s">
        <v>880</v>
      </c>
      <c r="E341" s="65" t="s">
        <v>253</v>
      </c>
      <c r="F341" s="65">
        <v>6</v>
      </c>
      <c r="G341" s="89"/>
      <c r="H341" s="89"/>
      <c r="I341" s="89"/>
      <c r="J341" s="68"/>
      <c r="K341" s="89"/>
      <c r="L341" s="90"/>
      <c r="M341" s="20"/>
      <c r="N341" s="90"/>
      <c r="O341" s="90"/>
      <c r="P341" s="76"/>
      <c r="Q341" s="90"/>
      <c r="R341" s="89"/>
      <c r="S341" s="95"/>
    </row>
    <row r="342" spans="1:19" ht="25.5">
      <c r="A342" s="64" t="s">
        <v>881</v>
      </c>
      <c r="B342" s="65" t="s">
        <v>882</v>
      </c>
      <c r="C342" s="65" t="s">
        <v>200</v>
      </c>
      <c r="D342" s="72" t="s">
        <v>883</v>
      </c>
      <c r="E342" s="65" t="s">
        <v>253</v>
      </c>
      <c r="F342" s="65">
        <v>6</v>
      </c>
      <c r="G342" s="89"/>
      <c r="H342" s="89"/>
      <c r="I342" s="89"/>
      <c r="J342" s="68"/>
      <c r="K342" s="89"/>
      <c r="L342" s="90"/>
      <c r="M342" s="20"/>
      <c r="N342" s="90"/>
      <c r="O342" s="90"/>
      <c r="P342" s="76"/>
      <c r="Q342" s="90"/>
      <c r="R342" s="89"/>
      <c r="S342" s="95"/>
    </row>
    <row r="343" spans="1:19" ht="25.5">
      <c r="A343" s="64" t="s">
        <v>884</v>
      </c>
      <c r="B343" s="65" t="s">
        <v>885</v>
      </c>
      <c r="C343" s="65" t="s">
        <v>200</v>
      </c>
      <c r="D343" s="72" t="s">
        <v>886</v>
      </c>
      <c r="E343" s="65" t="s">
        <v>253</v>
      </c>
      <c r="F343" s="65">
        <v>1</v>
      </c>
      <c r="G343" s="89"/>
      <c r="H343" s="89"/>
      <c r="I343" s="89"/>
      <c r="J343" s="68"/>
      <c r="K343" s="89"/>
      <c r="L343" s="90"/>
      <c r="M343" s="20"/>
      <c r="N343" s="90"/>
      <c r="O343" s="90"/>
      <c r="P343" s="76"/>
      <c r="Q343" s="90"/>
      <c r="R343" s="89"/>
      <c r="S343" s="95"/>
    </row>
    <row r="344" spans="1:19" ht="25.5">
      <c r="A344" s="64" t="s">
        <v>887</v>
      </c>
      <c r="B344" s="65" t="s">
        <v>888</v>
      </c>
      <c r="C344" s="65" t="s">
        <v>200</v>
      </c>
      <c r="D344" s="72" t="s">
        <v>889</v>
      </c>
      <c r="E344" s="65" t="s">
        <v>253</v>
      </c>
      <c r="F344" s="65">
        <v>21</v>
      </c>
      <c r="G344" s="89"/>
      <c r="H344" s="89"/>
      <c r="I344" s="89"/>
      <c r="J344" s="68"/>
      <c r="K344" s="89"/>
      <c r="L344" s="90"/>
      <c r="M344" s="20"/>
      <c r="N344" s="90"/>
      <c r="O344" s="90"/>
      <c r="P344" s="76"/>
      <c r="Q344" s="90"/>
      <c r="R344" s="89"/>
      <c r="S344" s="95"/>
    </row>
    <row r="345" spans="1:19" ht="25.5">
      <c r="A345" s="64" t="s">
        <v>890</v>
      </c>
      <c r="B345" s="65" t="s">
        <v>891</v>
      </c>
      <c r="C345" s="65" t="s">
        <v>6</v>
      </c>
      <c r="D345" s="72" t="s">
        <v>892</v>
      </c>
      <c r="E345" s="65" t="s">
        <v>253</v>
      </c>
      <c r="F345" s="65">
        <v>26</v>
      </c>
      <c r="G345" s="89"/>
      <c r="H345" s="89"/>
      <c r="I345" s="89"/>
      <c r="J345" s="68"/>
      <c r="K345" s="89"/>
      <c r="L345" s="90"/>
      <c r="M345" s="20"/>
      <c r="N345" s="90"/>
      <c r="O345" s="90"/>
      <c r="P345" s="76"/>
      <c r="Q345" s="90"/>
      <c r="R345" s="89"/>
      <c r="S345" s="95"/>
    </row>
    <row r="346" spans="1:19" ht="25.5">
      <c r="A346" s="64" t="s">
        <v>893</v>
      </c>
      <c r="B346" s="65" t="s">
        <v>894</v>
      </c>
      <c r="C346" s="65" t="s">
        <v>200</v>
      </c>
      <c r="D346" s="72" t="s">
        <v>895</v>
      </c>
      <c r="E346" s="65" t="s">
        <v>253</v>
      </c>
      <c r="F346" s="65">
        <v>1</v>
      </c>
      <c r="G346" s="89"/>
      <c r="H346" s="89"/>
      <c r="I346" s="89"/>
      <c r="J346" s="68"/>
      <c r="K346" s="89"/>
      <c r="L346" s="90"/>
      <c r="M346" s="20"/>
      <c r="N346" s="90"/>
      <c r="O346" s="90"/>
      <c r="P346" s="76"/>
      <c r="Q346" s="90"/>
      <c r="R346" s="89"/>
      <c r="S346" s="95"/>
    </row>
    <row r="347" spans="1:19" ht="25.5">
      <c r="A347" s="64" t="s">
        <v>896</v>
      </c>
      <c r="B347" s="65" t="s">
        <v>897</v>
      </c>
      <c r="C347" s="65" t="s">
        <v>23</v>
      </c>
      <c r="D347" s="72" t="s">
        <v>898</v>
      </c>
      <c r="E347" s="65" t="s">
        <v>48</v>
      </c>
      <c r="F347" s="65">
        <v>94</v>
      </c>
      <c r="G347" s="89"/>
      <c r="H347" s="89"/>
      <c r="I347" s="89"/>
      <c r="J347" s="68"/>
      <c r="K347" s="89"/>
      <c r="L347" s="90"/>
      <c r="M347" s="20"/>
      <c r="N347" s="90"/>
      <c r="O347" s="90"/>
      <c r="P347" s="76"/>
      <c r="Q347" s="90"/>
      <c r="R347" s="89"/>
      <c r="S347" s="95"/>
    </row>
    <row r="348" spans="1:19" ht="51">
      <c r="A348" s="64" t="s">
        <v>899</v>
      </c>
      <c r="B348" s="65" t="s">
        <v>900</v>
      </c>
      <c r="C348" s="65" t="s">
        <v>133</v>
      </c>
      <c r="D348" s="72" t="s">
        <v>901</v>
      </c>
      <c r="E348" s="65" t="s">
        <v>253</v>
      </c>
      <c r="F348" s="65">
        <v>15</v>
      </c>
      <c r="G348" s="89"/>
      <c r="H348" s="89"/>
      <c r="I348" s="89"/>
      <c r="J348" s="68"/>
      <c r="K348" s="89"/>
      <c r="L348" s="90"/>
      <c r="M348" s="20"/>
      <c r="N348" s="90"/>
      <c r="O348" s="90"/>
      <c r="P348" s="76"/>
      <c r="Q348" s="90"/>
      <c r="R348" s="89"/>
      <c r="S348" s="95"/>
    </row>
    <row r="349" spans="1:19" ht="38.25">
      <c r="A349" s="64" t="s">
        <v>905</v>
      </c>
      <c r="B349" s="65" t="s">
        <v>906</v>
      </c>
      <c r="C349" s="65" t="s">
        <v>200</v>
      </c>
      <c r="D349" s="72" t="s">
        <v>907</v>
      </c>
      <c r="E349" s="65" t="s">
        <v>48</v>
      </c>
      <c r="F349" s="65">
        <v>24</v>
      </c>
      <c r="G349" s="89"/>
      <c r="H349" s="89"/>
      <c r="I349" s="89"/>
      <c r="J349" s="68"/>
      <c r="K349" s="89"/>
      <c r="L349" s="90"/>
      <c r="M349" s="90">
        <v>8</v>
      </c>
      <c r="N349" s="90"/>
      <c r="O349" s="90"/>
      <c r="P349" s="70" t="s">
        <v>1972</v>
      </c>
      <c r="Q349" s="68">
        <f>F349</f>
        <v>24</v>
      </c>
      <c r="R349" s="89" t="s">
        <v>2494</v>
      </c>
      <c r="S349" s="71">
        <f>F349+J349-K349+M349</f>
        <v>32</v>
      </c>
    </row>
    <row r="350" spans="1:19" ht="38.25">
      <c r="A350" s="64" t="s">
        <v>908</v>
      </c>
      <c r="B350" s="65" t="s">
        <v>909</v>
      </c>
      <c r="C350" s="65" t="s">
        <v>23</v>
      </c>
      <c r="D350" s="72" t="s">
        <v>910</v>
      </c>
      <c r="E350" s="65" t="s">
        <v>48</v>
      </c>
      <c r="F350" s="65">
        <v>1</v>
      </c>
      <c r="G350" s="89"/>
      <c r="H350" s="89"/>
      <c r="I350" s="89"/>
      <c r="J350" s="68"/>
      <c r="K350" s="89"/>
      <c r="L350" s="90"/>
      <c r="M350" s="90"/>
      <c r="N350" s="90"/>
      <c r="O350" s="90"/>
      <c r="P350" s="76"/>
      <c r="Q350" s="90"/>
      <c r="R350" s="89"/>
      <c r="S350" s="95"/>
    </row>
    <row r="351" spans="1:19" ht="38.25">
      <c r="A351" s="64" t="s">
        <v>911</v>
      </c>
      <c r="B351" s="65" t="s">
        <v>912</v>
      </c>
      <c r="C351" s="65" t="s">
        <v>23</v>
      </c>
      <c r="D351" s="72" t="s">
        <v>913</v>
      </c>
      <c r="E351" s="65" t="s">
        <v>48</v>
      </c>
      <c r="F351" s="65">
        <v>1</v>
      </c>
      <c r="G351" s="89"/>
      <c r="H351" s="89"/>
      <c r="I351" s="89"/>
      <c r="J351" s="68"/>
      <c r="K351" s="89"/>
      <c r="L351" s="90"/>
      <c r="M351" s="90"/>
      <c r="N351" s="90"/>
      <c r="O351" s="90"/>
      <c r="P351" s="76"/>
      <c r="Q351" s="90"/>
      <c r="R351" s="89"/>
      <c r="S351" s="95"/>
    </row>
    <row r="352" spans="1:19" ht="38.25">
      <c r="A352" s="64" t="s">
        <v>914</v>
      </c>
      <c r="B352" s="65" t="s">
        <v>915</v>
      </c>
      <c r="C352" s="65" t="s">
        <v>200</v>
      </c>
      <c r="D352" s="72" t="s">
        <v>916</v>
      </c>
      <c r="E352" s="65" t="s">
        <v>48</v>
      </c>
      <c r="F352" s="65">
        <v>132</v>
      </c>
      <c r="G352" s="89"/>
      <c r="H352" s="89"/>
      <c r="I352" s="89"/>
      <c r="J352" s="68"/>
      <c r="K352" s="89"/>
      <c r="L352" s="90"/>
      <c r="M352" s="90"/>
      <c r="N352" s="90"/>
      <c r="O352" s="90"/>
      <c r="P352" s="76"/>
      <c r="Q352" s="90"/>
      <c r="R352" s="89"/>
      <c r="S352" s="95"/>
    </row>
    <row r="353" spans="1:19" ht="25.5">
      <c r="A353" s="64" t="s">
        <v>917</v>
      </c>
      <c r="B353" s="65" t="s">
        <v>918</v>
      </c>
      <c r="C353" s="65" t="s">
        <v>200</v>
      </c>
      <c r="D353" s="72" t="s">
        <v>919</v>
      </c>
      <c r="E353" s="65" t="s">
        <v>253</v>
      </c>
      <c r="F353" s="65">
        <v>1</v>
      </c>
      <c r="G353" s="89"/>
      <c r="H353" s="89"/>
      <c r="I353" s="89"/>
      <c r="J353" s="68"/>
      <c r="K353" s="89"/>
      <c r="L353" s="90"/>
      <c r="M353" s="90"/>
      <c r="N353" s="90"/>
      <c r="O353" s="90"/>
      <c r="P353" s="76"/>
      <c r="Q353" s="90"/>
      <c r="R353" s="89"/>
      <c r="S353" s="95"/>
    </row>
    <row r="354" spans="1:19" ht="25.5">
      <c r="A354" s="64" t="s">
        <v>920</v>
      </c>
      <c r="B354" s="65" t="s">
        <v>921</v>
      </c>
      <c r="C354" s="65" t="s">
        <v>200</v>
      </c>
      <c r="D354" s="72" t="s">
        <v>922</v>
      </c>
      <c r="E354" s="65" t="s">
        <v>253</v>
      </c>
      <c r="F354" s="65">
        <v>1</v>
      </c>
      <c r="G354" s="89"/>
      <c r="H354" s="89"/>
      <c r="I354" s="89"/>
      <c r="J354" s="68"/>
      <c r="K354" s="89"/>
      <c r="L354" s="90"/>
      <c r="M354" s="90"/>
      <c r="N354" s="90"/>
      <c r="O354" s="90"/>
      <c r="P354" s="76"/>
      <c r="Q354" s="90"/>
      <c r="R354" s="89"/>
      <c r="S354" s="95"/>
    </row>
    <row r="355" spans="1:19" ht="25.5">
      <c r="A355" s="64" t="s">
        <v>923</v>
      </c>
      <c r="B355" s="65" t="s">
        <v>924</v>
      </c>
      <c r="C355" s="65" t="s">
        <v>200</v>
      </c>
      <c r="D355" s="72" t="s">
        <v>925</v>
      </c>
      <c r="E355" s="65" t="s">
        <v>253</v>
      </c>
      <c r="F355" s="65">
        <v>1</v>
      </c>
      <c r="G355" s="89"/>
      <c r="H355" s="89"/>
      <c r="I355" s="89"/>
      <c r="J355" s="68"/>
      <c r="K355" s="89"/>
      <c r="L355" s="90"/>
      <c r="M355" s="90"/>
      <c r="N355" s="90"/>
      <c r="O355" s="90"/>
      <c r="P355" s="76"/>
      <c r="Q355" s="90"/>
      <c r="R355" s="89"/>
      <c r="S355" s="95"/>
    </row>
    <row r="356" spans="1:19" ht="25.5">
      <c r="A356" s="64" t="s">
        <v>926</v>
      </c>
      <c r="B356" s="65" t="s">
        <v>927</v>
      </c>
      <c r="C356" s="65" t="s">
        <v>200</v>
      </c>
      <c r="D356" s="72" t="s">
        <v>928</v>
      </c>
      <c r="E356" s="65" t="s">
        <v>253</v>
      </c>
      <c r="F356" s="65">
        <v>1</v>
      </c>
      <c r="G356" s="89"/>
      <c r="H356" s="89"/>
      <c r="I356" s="89"/>
      <c r="J356" s="68"/>
      <c r="K356" s="89"/>
      <c r="L356" s="90"/>
      <c r="M356" s="90"/>
      <c r="N356" s="90"/>
      <c r="O356" s="90"/>
      <c r="P356" s="76"/>
      <c r="Q356" s="90"/>
      <c r="R356" s="89"/>
      <c r="S356" s="95"/>
    </row>
    <row r="357" spans="1:19" ht="25.5">
      <c r="A357" s="64" t="s">
        <v>929</v>
      </c>
      <c r="B357" s="65" t="s">
        <v>930</v>
      </c>
      <c r="C357" s="65" t="s">
        <v>200</v>
      </c>
      <c r="D357" s="72" t="s">
        <v>931</v>
      </c>
      <c r="E357" s="65" t="s">
        <v>253</v>
      </c>
      <c r="F357" s="65">
        <v>1</v>
      </c>
      <c r="G357" s="89"/>
      <c r="H357" s="89"/>
      <c r="I357" s="89"/>
      <c r="J357" s="68"/>
      <c r="K357" s="89"/>
      <c r="L357" s="90"/>
      <c r="M357" s="90"/>
      <c r="N357" s="90"/>
      <c r="O357" s="90"/>
      <c r="P357" s="76"/>
      <c r="Q357" s="90"/>
      <c r="R357" s="89"/>
      <c r="S357" s="95"/>
    </row>
    <row r="358" spans="1:19" ht="25.5">
      <c r="A358" s="64" t="s">
        <v>932</v>
      </c>
      <c r="B358" s="65" t="s">
        <v>933</v>
      </c>
      <c r="C358" s="65" t="s">
        <v>200</v>
      </c>
      <c r="D358" s="72" t="s">
        <v>934</v>
      </c>
      <c r="E358" s="65" t="s">
        <v>253</v>
      </c>
      <c r="F358" s="65">
        <v>1</v>
      </c>
      <c r="G358" s="89"/>
      <c r="H358" s="89"/>
      <c r="I358" s="89"/>
      <c r="J358" s="68"/>
      <c r="K358" s="89"/>
      <c r="L358" s="90"/>
      <c r="M358" s="90"/>
      <c r="N358" s="90"/>
      <c r="O358" s="90"/>
      <c r="P358" s="76"/>
      <c r="Q358" s="90"/>
      <c r="R358" s="89"/>
      <c r="S358" s="95"/>
    </row>
    <row r="359" spans="1:19" ht="25.5">
      <c r="A359" s="64" t="s">
        <v>935</v>
      </c>
      <c r="B359" s="65" t="s">
        <v>936</v>
      </c>
      <c r="C359" s="65" t="s">
        <v>200</v>
      </c>
      <c r="D359" s="72" t="s">
        <v>937</v>
      </c>
      <c r="E359" s="65" t="s">
        <v>253</v>
      </c>
      <c r="F359" s="65">
        <v>1</v>
      </c>
      <c r="G359" s="89"/>
      <c r="H359" s="89"/>
      <c r="I359" s="89"/>
      <c r="J359" s="68"/>
      <c r="K359" s="89"/>
      <c r="L359" s="90"/>
      <c r="M359" s="90"/>
      <c r="N359" s="90"/>
      <c r="O359" s="90"/>
      <c r="P359" s="76"/>
      <c r="Q359" s="90"/>
      <c r="R359" s="89"/>
      <c r="S359" s="95"/>
    </row>
    <row r="360" spans="1:19" ht="25.5">
      <c r="A360" s="64" t="s">
        <v>938</v>
      </c>
      <c r="B360" s="65" t="s">
        <v>939</v>
      </c>
      <c r="C360" s="65" t="s">
        <v>200</v>
      </c>
      <c r="D360" s="72" t="s">
        <v>940</v>
      </c>
      <c r="E360" s="65" t="s">
        <v>253</v>
      </c>
      <c r="F360" s="65">
        <v>1</v>
      </c>
      <c r="G360" s="89"/>
      <c r="H360" s="89"/>
      <c r="I360" s="89"/>
      <c r="J360" s="68"/>
      <c r="K360" s="89"/>
      <c r="L360" s="90"/>
      <c r="M360" s="90"/>
      <c r="N360" s="90"/>
      <c r="O360" s="90"/>
      <c r="P360" s="76"/>
      <c r="Q360" s="90"/>
      <c r="R360" s="89"/>
      <c r="S360" s="95"/>
    </row>
    <row r="361" spans="1:19" ht="25.5">
      <c r="A361" s="64" t="s">
        <v>941</v>
      </c>
      <c r="B361" s="65" t="s">
        <v>942</v>
      </c>
      <c r="C361" s="65" t="s">
        <v>200</v>
      </c>
      <c r="D361" s="72" t="s">
        <v>943</v>
      </c>
      <c r="E361" s="65" t="s">
        <v>253</v>
      </c>
      <c r="F361" s="65">
        <v>1</v>
      </c>
      <c r="G361" s="89"/>
      <c r="H361" s="89"/>
      <c r="I361" s="89"/>
      <c r="J361" s="68"/>
      <c r="K361" s="89"/>
      <c r="L361" s="90"/>
      <c r="M361" s="90"/>
      <c r="N361" s="90"/>
      <c r="O361" s="90"/>
      <c r="P361" s="76"/>
      <c r="Q361" s="90"/>
      <c r="R361" s="89"/>
      <c r="S361" s="95"/>
    </row>
    <row r="362" spans="1:19" ht="25.5">
      <c r="A362" s="64" t="s">
        <v>944</v>
      </c>
      <c r="B362" s="65" t="s">
        <v>945</v>
      </c>
      <c r="C362" s="65" t="s">
        <v>200</v>
      </c>
      <c r="D362" s="72" t="s">
        <v>946</v>
      </c>
      <c r="E362" s="65" t="s">
        <v>253</v>
      </c>
      <c r="F362" s="65">
        <v>1</v>
      </c>
      <c r="G362" s="89"/>
      <c r="H362" s="89"/>
      <c r="I362" s="89"/>
      <c r="J362" s="68"/>
      <c r="K362" s="89"/>
      <c r="L362" s="90"/>
      <c r="M362" s="20">
        <v>1</v>
      </c>
      <c r="N362" s="90"/>
      <c r="O362" s="90"/>
      <c r="P362" s="70" t="s">
        <v>1972</v>
      </c>
      <c r="Q362" s="68">
        <f>F362</f>
        <v>1</v>
      </c>
      <c r="R362" s="89" t="s">
        <v>2189</v>
      </c>
      <c r="S362" s="71">
        <f>F362+J362-K362+M362</f>
        <v>2</v>
      </c>
    </row>
    <row r="363" spans="1:19" ht="25.5">
      <c r="A363" s="64" t="s">
        <v>947</v>
      </c>
      <c r="B363" s="65" t="s">
        <v>948</v>
      </c>
      <c r="C363" s="65" t="s">
        <v>200</v>
      </c>
      <c r="D363" s="72" t="s">
        <v>949</v>
      </c>
      <c r="E363" s="65" t="s">
        <v>253</v>
      </c>
      <c r="F363" s="65">
        <v>1</v>
      </c>
      <c r="G363" s="89"/>
      <c r="H363" s="89"/>
      <c r="I363" s="89"/>
      <c r="J363" s="68"/>
      <c r="K363" s="89"/>
      <c r="L363" s="90"/>
      <c r="M363" s="90"/>
      <c r="N363" s="90"/>
      <c r="O363" s="90"/>
      <c r="P363" s="76"/>
      <c r="Q363" s="90"/>
      <c r="R363" s="89"/>
      <c r="S363" s="95"/>
    </row>
    <row r="364" spans="1:19" ht="25.5">
      <c r="A364" s="64" t="s">
        <v>950</v>
      </c>
      <c r="B364" s="65" t="s">
        <v>951</v>
      </c>
      <c r="C364" s="65" t="s">
        <v>200</v>
      </c>
      <c r="D364" s="72" t="s">
        <v>952</v>
      </c>
      <c r="E364" s="65" t="s">
        <v>253</v>
      </c>
      <c r="F364" s="65">
        <v>1</v>
      </c>
      <c r="G364" s="89"/>
      <c r="H364" s="89"/>
      <c r="I364" s="89"/>
      <c r="J364" s="68"/>
      <c r="K364" s="89"/>
      <c r="L364" s="90"/>
      <c r="M364" s="90"/>
      <c r="N364" s="90"/>
      <c r="O364" s="90"/>
      <c r="P364" s="76"/>
      <c r="Q364" s="90"/>
      <c r="R364" s="89"/>
      <c r="S364" s="95"/>
    </row>
    <row r="365" spans="1:19" ht="25.5">
      <c r="A365" s="64" t="s">
        <v>953</v>
      </c>
      <c r="B365" s="65" t="s">
        <v>954</v>
      </c>
      <c r="C365" s="65" t="s">
        <v>200</v>
      </c>
      <c r="D365" s="72" t="s">
        <v>955</v>
      </c>
      <c r="E365" s="65" t="s">
        <v>253</v>
      </c>
      <c r="F365" s="65">
        <v>1</v>
      </c>
      <c r="G365" s="89"/>
      <c r="H365" s="89"/>
      <c r="I365" s="89"/>
      <c r="J365" s="68"/>
      <c r="K365" s="89"/>
      <c r="L365" s="90"/>
      <c r="M365" s="90"/>
      <c r="N365" s="90"/>
      <c r="O365" s="90"/>
      <c r="P365" s="76"/>
      <c r="Q365" s="90"/>
      <c r="R365" s="89"/>
      <c r="S365" s="95"/>
    </row>
    <row r="366" spans="1:19" ht="25.5">
      <c r="A366" s="64" t="s">
        <v>956</v>
      </c>
      <c r="B366" s="65" t="s">
        <v>957</v>
      </c>
      <c r="C366" s="65" t="s">
        <v>200</v>
      </c>
      <c r="D366" s="72" t="s">
        <v>958</v>
      </c>
      <c r="E366" s="65" t="s">
        <v>253</v>
      </c>
      <c r="F366" s="65">
        <v>1</v>
      </c>
      <c r="G366" s="89"/>
      <c r="H366" s="89"/>
      <c r="I366" s="89"/>
      <c r="J366" s="68"/>
      <c r="K366" s="89"/>
      <c r="L366" s="90"/>
      <c r="M366" s="90"/>
      <c r="N366" s="90"/>
      <c r="O366" s="90"/>
      <c r="P366" s="76"/>
      <c r="Q366" s="90"/>
      <c r="R366" s="89"/>
      <c r="S366" s="95"/>
    </row>
    <row r="367" spans="1:19" ht="25.5">
      <c r="A367" s="64" t="s">
        <v>959</v>
      </c>
      <c r="B367" s="65" t="s">
        <v>960</v>
      </c>
      <c r="C367" s="65" t="s">
        <v>200</v>
      </c>
      <c r="D367" s="72" t="s">
        <v>961</v>
      </c>
      <c r="E367" s="65" t="s">
        <v>253</v>
      </c>
      <c r="F367" s="65">
        <v>1</v>
      </c>
      <c r="G367" s="89"/>
      <c r="H367" s="89"/>
      <c r="I367" s="89"/>
      <c r="J367" s="68"/>
      <c r="K367" s="89"/>
      <c r="L367" s="90"/>
      <c r="M367" s="90"/>
      <c r="N367" s="90"/>
      <c r="O367" s="90"/>
      <c r="P367" s="76"/>
      <c r="Q367" s="90"/>
      <c r="R367" s="89"/>
      <c r="S367" s="95"/>
    </row>
    <row r="368" spans="1:19" ht="25.5">
      <c r="A368" s="64" t="s">
        <v>962</v>
      </c>
      <c r="B368" s="65" t="s">
        <v>963</v>
      </c>
      <c r="C368" s="65" t="s">
        <v>200</v>
      </c>
      <c r="D368" s="72" t="s">
        <v>964</v>
      </c>
      <c r="E368" s="65" t="s">
        <v>253</v>
      </c>
      <c r="F368" s="65">
        <v>1</v>
      </c>
      <c r="G368" s="89"/>
      <c r="H368" s="89"/>
      <c r="I368" s="89"/>
      <c r="J368" s="68"/>
      <c r="K368" s="89"/>
      <c r="L368" s="90"/>
      <c r="M368" s="90"/>
      <c r="N368" s="90"/>
      <c r="O368" s="90"/>
      <c r="P368" s="76"/>
      <c r="Q368" s="90"/>
      <c r="R368" s="89"/>
      <c r="S368" s="95"/>
    </row>
    <row r="369" spans="1:19" ht="25.5">
      <c r="A369" s="64" t="s">
        <v>965</v>
      </c>
      <c r="B369" s="65" t="s">
        <v>966</v>
      </c>
      <c r="C369" s="65" t="s">
        <v>200</v>
      </c>
      <c r="D369" s="72" t="s">
        <v>967</v>
      </c>
      <c r="E369" s="65" t="s">
        <v>253</v>
      </c>
      <c r="F369" s="65">
        <v>1</v>
      </c>
      <c r="G369" s="89"/>
      <c r="H369" s="89"/>
      <c r="I369" s="89"/>
      <c r="J369" s="68"/>
      <c r="K369" s="89"/>
      <c r="L369" s="90"/>
      <c r="M369" s="90"/>
      <c r="N369" s="90"/>
      <c r="O369" s="90"/>
      <c r="P369" s="76"/>
      <c r="Q369" s="90"/>
      <c r="R369" s="89"/>
      <c r="S369" s="95"/>
    </row>
    <row r="370" spans="1:19">
      <c r="A370" s="64" t="s">
        <v>968</v>
      </c>
      <c r="B370" s="65" t="s">
        <v>969</v>
      </c>
      <c r="C370" s="65" t="s">
        <v>200</v>
      </c>
      <c r="D370" s="72" t="s">
        <v>970</v>
      </c>
      <c r="E370" s="65" t="s">
        <v>253</v>
      </c>
      <c r="F370" s="65">
        <v>1</v>
      </c>
      <c r="G370" s="89"/>
      <c r="H370" s="89"/>
      <c r="I370" s="89"/>
      <c r="J370" s="68"/>
      <c r="K370" s="89"/>
      <c r="L370" s="90"/>
      <c r="M370" s="90"/>
      <c r="N370" s="90"/>
      <c r="O370" s="90"/>
      <c r="P370" s="76"/>
      <c r="Q370" s="90"/>
      <c r="R370" s="89"/>
      <c r="S370" s="95"/>
    </row>
    <row r="371" spans="1:19" ht="25.5">
      <c r="A371" s="64" t="s">
        <v>971</v>
      </c>
      <c r="B371" s="65" t="s">
        <v>972</v>
      </c>
      <c r="C371" s="65" t="s">
        <v>23</v>
      </c>
      <c r="D371" s="72" t="s">
        <v>973</v>
      </c>
      <c r="E371" s="65" t="s">
        <v>48</v>
      </c>
      <c r="F371" s="65">
        <v>1</v>
      </c>
      <c r="G371" s="89"/>
      <c r="H371" s="89"/>
      <c r="I371" s="89"/>
      <c r="J371" s="68"/>
      <c r="K371" s="89"/>
      <c r="L371" s="90"/>
      <c r="M371" s="90"/>
      <c r="N371" s="90"/>
      <c r="O371" s="90"/>
      <c r="P371" s="76"/>
      <c r="Q371" s="90"/>
      <c r="R371" s="89"/>
      <c r="S371" s="95"/>
    </row>
    <row r="372" spans="1:19" ht="25.5">
      <c r="A372" s="64" t="s">
        <v>974</v>
      </c>
      <c r="B372" s="65" t="s">
        <v>975</v>
      </c>
      <c r="C372" s="65" t="s">
        <v>23</v>
      </c>
      <c r="D372" s="72" t="s">
        <v>976</v>
      </c>
      <c r="E372" s="65" t="s">
        <v>48</v>
      </c>
      <c r="F372" s="65">
        <v>1</v>
      </c>
      <c r="G372" s="89"/>
      <c r="H372" s="89"/>
      <c r="I372" s="89"/>
      <c r="J372" s="68"/>
      <c r="K372" s="89"/>
      <c r="L372" s="90"/>
      <c r="M372" s="90"/>
      <c r="N372" s="90"/>
      <c r="O372" s="90"/>
      <c r="P372" s="76"/>
      <c r="Q372" s="90"/>
      <c r="R372" s="89"/>
      <c r="S372" s="95"/>
    </row>
    <row r="373" spans="1:19" ht="38.25">
      <c r="A373" s="64" t="s">
        <v>977</v>
      </c>
      <c r="B373" s="65" t="s">
        <v>978</v>
      </c>
      <c r="C373" s="65" t="s">
        <v>200</v>
      </c>
      <c r="D373" s="72" t="s">
        <v>979</v>
      </c>
      <c r="E373" s="65" t="s">
        <v>48</v>
      </c>
      <c r="F373" s="65">
        <v>12</v>
      </c>
      <c r="G373" s="89"/>
      <c r="H373" s="89"/>
      <c r="I373" s="89"/>
      <c r="J373" s="68"/>
      <c r="K373" s="89"/>
      <c r="L373" s="90"/>
      <c r="M373" s="90"/>
      <c r="N373" s="90"/>
      <c r="O373" s="90"/>
      <c r="P373" s="76"/>
      <c r="Q373" s="90"/>
      <c r="R373" s="89"/>
      <c r="S373" s="95"/>
    </row>
    <row r="374" spans="1:19">
      <c r="A374" s="64" t="s">
        <v>980</v>
      </c>
      <c r="B374" s="65" t="s">
        <v>981</v>
      </c>
      <c r="C374" s="65" t="s">
        <v>23</v>
      </c>
      <c r="D374" s="72" t="s">
        <v>982</v>
      </c>
      <c r="E374" s="65" t="s">
        <v>48</v>
      </c>
      <c r="F374" s="65">
        <v>85</v>
      </c>
      <c r="G374" s="89"/>
      <c r="H374" s="89"/>
      <c r="I374" s="89"/>
      <c r="J374" s="68"/>
      <c r="K374" s="89"/>
      <c r="L374" s="90"/>
      <c r="M374" s="90"/>
      <c r="N374" s="90"/>
      <c r="O374" s="90"/>
      <c r="P374" s="76"/>
      <c r="Q374" s="90"/>
      <c r="R374" s="89"/>
      <c r="S374" s="95"/>
    </row>
    <row r="375" spans="1:19">
      <c r="A375" s="64" t="s">
        <v>983</v>
      </c>
      <c r="B375" s="65" t="s">
        <v>984</v>
      </c>
      <c r="C375" s="65" t="s">
        <v>23</v>
      </c>
      <c r="D375" s="72" t="s">
        <v>985</v>
      </c>
      <c r="E375" s="65" t="s">
        <v>48</v>
      </c>
      <c r="F375" s="65">
        <v>11</v>
      </c>
      <c r="G375" s="89"/>
      <c r="H375" s="89"/>
      <c r="I375" s="89"/>
      <c r="J375" s="68"/>
      <c r="K375" s="89"/>
      <c r="L375" s="90"/>
      <c r="M375" s="90"/>
      <c r="N375" s="90"/>
      <c r="O375" s="90"/>
      <c r="P375" s="76"/>
      <c r="Q375" s="90"/>
      <c r="R375" s="89"/>
      <c r="S375" s="95"/>
    </row>
    <row r="376" spans="1:19">
      <c r="A376" s="64" t="s">
        <v>986</v>
      </c>
      <c r="B376" s="65" t="s">
        <v>987</v>
      </c>
      <c r="C376" s="65" t="s">
        <v>23</v>
      </c>
      <c r="D376" s="72" t="s">
        <v>988</v>
      </c>
      <c r="E376" s="65" t="s">
        <v>48</v>
      </c>
      <c r="F376" s="65">
        <v>165</v>
      </c>
      <c r="G376" s="89"/>
      <c r="H376" s="89"/>
      <c r="I376" s="89"/>
      <c r="J376" s="68"/>
      <c r="K376" s="89"/>
      <c r="L376" s="90"/>
      <c r="M376" s="90"/>
      <c r="N376" s="90"/>
      <c r="O376" s="90"/>
      <c r="P376" s="76"/>
      <c r="Q376" s="90"/>
      <c r="R376" s="89"/>
      <c r="S376" s="95"/>
    </row>
    <row r="377" spans="1:19" ht="38.25">
      <c r="A377" s="64" t="s">
        <v>989</v>
      </c>
      <c r="B377" s="65" t="s">
        <v>990</v>
      </c>
      <c r="C377" s="65" t="s">
        <v>133</v>
      </c>
      <c r="D377" s="72" t="s">
        <v>991</v>
      </c>
      <c r="E377" s="65" t="s">
        <v>253</v>
      </c>
      <c r="F377" s="65">
        <v>21</v>
      </c>
      <c r="G377" s="89"/>
      <c r="H377" s="89"/>
      <c r="I377" s="89"/>
      <c r="J377" s="68"/>
      <c r="K377" s="89"/>
      <c r="L377" s="90"/>
      <c r="M377" s="90"/>
      <c r="N377" s="90"/>
      <c r="O377" s="90"/>
      <c r="P377" s="76"/>
      <c r="Q377" s="90"/>
      <c r="R377" s="89"/>
      <c r="S377" s="95"/>
    </row>
    <row r="378" spans="1:19" ht="25.5">
      <c r="A378" s="64" t="s">
        <v>992</v>
      </c>
      <c r="B378" s="65" t="s">
        <v>993</v>
      </c>
      <c r="C378" s="65" t="s">
        <v>6</v>
      </c>
      <c r="D378" s="72" t="s">
        <v>994</v>
      </c>
      <c r="E378" s="65" t="s">
        <v>253</v>
      </c>
      <c r="F378" s="65">
        <v>4</v>
      </c>
      <c r="G378" s="89"/>
      <c r="H378" s="89"/>
      <c r="I378" s="89"/>
      <c r="J378" s="68"/>
      <c r="K378" s="89"/>
      <c r="L378" s="90"/>
      <c r="M378" s="90"/>
      <c r="N378" s="90"/>
      <c r="O378" s="90"/>
      <c r="P378" s="76"/>
      <c r="Q378" s="90"/>
      <c r="R378" s="89"/>
      <c r="S378" s="95"/>
    </row>
    <row r="379" spans="1:19" ht="51">
      <c r="A379" s="64" t="s">
        <v>995</v>
      </c>
      <c r="B379" s="65" t="s">
        <v>996</v>
      </c>
      <c r="C379" s="65" t="s">
        <v>200</v>
      </c>
      <c r="D379" s="72" t="s">
        <v>997</v>
      </c>
      <c r="E379" s="65" t="s">
        <v>48</v>
      </c>
      <c r="F379" s="65">
        <v>24</v>
      </c>
      <c r="G379" s="89"/>
      <c r="H379" s="89"/>
      <c r="I379" s="89"/>
      <c r="J379" s="68"/>
      <c r="K379" s="89"/>
      <c r="L379" s="90"/>
      <c r="M379" s="90"/>
      <c r="N379" s="90"/>
      <c r="O379" s="90"/>
      <c r="P379" s="76"/>
      <c r="Q379" s="90"/>
      <c r="R379" s="89"/>
      <c r="S379" s="95"/>
    </row>
    <row r="380" spans="1:19" ht="89.25">
      <c r="A380" s="64" t="s">
        <v>998</v>
      </c>
      <c r="B380" s="65" t="s">
        <v>999</v>
      </c>
      <c r="C380" s="65" t="s">
        <v>200</v>
      </c>
      <c r="D380" s="72" t="s">
        <v>1000</v>
      </c>
      <c r="E380" s="65" t="s">
        <v>48</v>
      </c>
      <c r="F380" s="65">
        <v>1</v>
      </c>
      <c r="G380" s="89"/>
      <c r="H380" s="89"/>
      <c r="I380" s="89"/>
      <c r="J380" s="68"/>
      <c r="K380" s="89"/>
      <c r="L380" s="90"/>
      <c r="M380" s="90"/>
      <c r="N380" s="90"/>
      <c r="O380" s="90"/>
      <c r="P380" s="76"/>
      <c r="Q380" s="90"/>
      <c r="R380" s="89"/>
      <c r="S380" s="95"/>
    </row>
    <row r="381" spans="1:19" ht="38.25">
      <c r="A381" s="64" t="s">
        <v>1001</v>
      </c>
      <c r="B381" s="65" t="s">
        <v>1002</v>
      </c>
      <c r="C381" s="65" t="s">
        <v>23</v>
      </c>
      <c r="D381" s="72" t="s">
        <v>1003</v>
      </c>
      <c r="E381" s="65" t="s">
        <v>48</v>
      </c>
      <c r="F381" s="65">
        <v>115</v>
      </c>
      <c r="G381" s="89"/>
      <c r="H381" s="89"/>
      <c r="I381" s="89"/>
      <c r="J381" s="68"/>
      <c r="K381" s="89"/>
      <c r="L381" s="90"/>
      <c r="M381" s="90"/>
      <c r="N381" s="90"/>
      <c r="O381" s="90"/>
      <c r="P381" s="76"/>
      <c r="Q381" s="90"/>
      <c r="R381" s="89"/>
      <c r="S381" s="95"/>
    </row>
    <row r="382" spans="1:19" ht="63.75">
      <c r="A382" s="64" t="s">
        <v>1004</v>
      </c>
      <c r="B382" s="65" t="s">
        <v>1005</v>
      </c>
      <c r="C382" s="65" t="s">
        <v>23</v>
      </c>
      <c r="D382" s="72" t="s">
        <v>1006</v>
      </c>
      <c r="E382" s="65" t="s">
        <v>48</v>
      </c>
      <c r="F382" s="65">
        <v>69</v>
      </c>
      <c r="G382" s="89"/>
      <c r="H382" s="89"/>
      <c r="I382" s="89"/>
      <c r="J382" s="68"/>
      <c r="K382" s="89"/>
      <c r="L382" s="90"/>
      <c r="M382" s="90"/>
      <c r="N382" s="90"/>
      <c r="O382" s="90"/>
      <c r="P382" s="76"/>
      <c r="Q382" s="90"/>
      <c r="R382" s="89"/>
      <c r="S382" s="95"/>
    </row>
    <row r="383" spans="1:19" ht="38.25">
      <c r="A383" s="64" t="s">
        <v>1007</v>
      </c>
      <c r="B383" s="65" t="s">
        <v>1008</v>
      </c>
      <c r="C383" s="65" t="s">
        <v>23</v>
      </c>
      <c r="D383" s="72" t="s">
        <v>1009</v>
      </c>
      <c r="E383" s="65" t="s">
        <v>48</v>
      </c>
      <c r="F383" s="65">
        <v>2</v>
      </c>
      <c r="G383" s="89"/>
      <c r="H383" s="89"/>
      <c r="I383" s="89"/>
      <c r="J383" s="68"/>
      <c r="K383" s="89"/>
      <c r="L383" s="90"/>
      <c r="M383" s="90"/>
      <c r="N383" s="90"/>
      <c r="O383" s="90"/>
      <c r="P383" s="76"/>
      <c r="Q383" s="90"/>
      <c r="R383" s="89"/>
      <c r="S383" s="95"/>
    </row>
    <row r="384" spans="1:19" ht="51">
      <c r="A384" s="64" t="s">
        <v>1010</v>
      </c>
      <c r="B384" s="65" t="s">
        <v>1011</v>
      </c>
      <c r="C384" s="65" t="s">
        <v>23</v>
      </c>
      <c r="D384" s="72" t="s">
        <v>1012</v>
      </c>
      <c r="E384" s="65" t="s">
        <v>48</v>
      </c>
      <c r="F384" s="65">
        <v>280</v>
      </c>
      <c r="G384" s="89"/>
      <c r="H384" s="89"/>
      <c r="I384" s="89"/>
      <c r="J384" s="68"/>
      <c r="K384" s="89"/>
      <c r="L384" s="90"/>
      <c r="M384" s="90"/>
      <c r="N384" s="90"/>
      <c r="O384" s="90"/>
      <c r="P384" s="76"/>
      <c r="Q384" s="90"/>
      <c r="R384" s="89"/>
      <c r="S384" s="95"/>
    </row>
    <row r="385" spans="1:19" ht="25.5">
      <c r="A385" s="64" t="s">
        <v>1013</v>
      </c>
      <c r="B385" s="65" t="s">
        <v>1014</v>
      </c>
      <c r="C385" s="65" t="s">
        <v>23</v>
      </c>
      <c r="D385" s="72" t="s">
        <v>1015</v>
      </c>
      <c r="E385" s="65" t="s">
        <v>48</v>
      </c>
      <c r="F385" s="65">
        <v>270</v>
      </c>
      <c r="G385" s="89"/>
      <c r="H385" s="89"/>
      <c r="I385" s="89"/>
      <c r="J385" s="68"/>
      <c r="K385" s="89"/>
      <c r="L385" s="90"/>
      <c r="M385" s="90"/>
      <c r="N385" s="90"/>
      <c r="O385" s="90"/>
      <c r="P385" s="76"/>
      <c r="Q385" s="90"/>
      <c r="R385" s="89"/>
      <c r="S385" s="95"/>
    </row>
    <row r="386" spans="1:19" ht="25.5">
      <c r="A386" s="64" t="s">
        <v>1016</v>
      </c>
      <c r="B386" s="65" t="s">
        <v>1017</v>
      </c>
      <c r="C386" s="65" t="s">
        <v>23</v>
      </c>
      <c r="D386" s="72" t="s">
        <v>1018</v>
      </c>
      <c r="E386" s="65" t="s">
        <v>48</v>
      </c>
      <c r="F386" s="65">
        <v>3</v>
      </c>
      <c r="G386" s="89"/>
      <c r="H386" s="89"/>
      <c r="I386" s="89"/>
      <c r="J386" s="68"/>
      <c r="K386" s="89"/>
      <c r="L386" s="90"/>
      <c r="M386" s="90"/>
      <c r="N386" s="90"/>
      <c r="O386" s="90"/>
      <c r="P386" s="76"/>
      <c r="Q386" s="90"/>
      <c r="R386" s="89"/>
      <c r="S386" s="95"/>
    </row>
    <row r="387" spans="1:19" ht="38.25">
      <c r="A387" s="64" t="s">
        <v>1019</v>
      </c>
      <c r="B387" s="65" t="s">
        <v>1020</v>
      </c>
      <c r="C387" s="65" t="s">
        <v>23</v>
      </c>
      <c r="D387" s="72" t="s">
        <v>1021</v>
      </c>
      <c r="E387" s="65" t="s">
        <v>48</v>
      </c>
      <c r="F387" s="65">
        <v>10</v>
      </c>
      <c r="G387" s="89"/>
      <c r="H387" s="89"/>
      <c r="I387" s="89"/>
      <c r="J387" s="68"/>
      <c r="K387" s="89"/>
      <c r="L387" s="90"/>
      <c r="M387" s="90"/>
      <c r="N387" s="90"/>
      <c r="O387" s="90"/>
      <c r="P387" s="76"/>
      <c r="Q387" s="90"/>
      <c r="R387" s="89"/>
      <c r="S387" s="95"/>
    </row>
    <row r="388" spans="1:19">
      <c r="A388" s="64" t="s">
        <v>1022</v>
      </c>
      <c r="B388" s="65" t="s">
        <v>1023</v>
      </c>
      <c r="C388" s="65" t="s">
        <v>23</v>
      </c>
      <c r="D388" s="72" t="s">
        <v>1024</v>
      </c>
      <c r="E388" s="65" t="s">
        <v>48</v>
      </c>
      <c r="F388" s="65">
        <v>16</v>
      </c>
      <c r="G388" s="89"/>
      <c r="H388" s="89"/>
      <c r="I388" s="89"/>
      <c r="J388" s="68"/>
      <c r="K388" s="89"/>
      <c r="L388" s="90"/>
      <c r="M388" s="90"/>
      <c r="N388" s="90"/>
      <c r="O388" s="90"/>
      <c r="P388" s="76"/>
      <c r="Q388" s="90"/>
      <c r="R388" s="89"/>
      <c r="S388" s="95"/>
    </row>
    <row r="389" spans="1:19">
      <c r="A389" s="64" t="s">
        <v>1025</v>
      </c>
      <c r="B389" s="65" t="s">
        <v>1026</v>
      </c>
      <c r="C389" s="65" t="s">
        <v>23</v>
      </c>
      <c r="D389" s="72" t="s">
        <v>1027</v>
      </c>
      <c r="E389" s="65" t="s">
        <v>48</v>
      </c>
      <c r="F389" s="65">
        <v>20</v>
      </c>
      <c r="G389" s="89"/>
      <c r="H389" s="89"/>
      <c r="I389" s="89"/>
      <c r="J389" s="68"/>
      <c r="K389" s="89"/>
      <c r="L389" s="90"/>
      <c r="M389" s="90"/>
      <c r="N389" s="90"/>
      <c r="O389" s="90"/>
      <c r="P389" s="76"/>
      <c r="Q389" s="90"/>
      <c r="R389" s="89"/>
      <c r="S389" s="95"/>
    </row>
    <row r="390" spans="1:19">
      <c r="A390" s="64" t="s">
        <v>1028</v>
      </c>
      <c r="B390" s="65" t="s">
        <v>1029</v>
      </c>
      <c r="C390" s="65" t="s">
        <v>23</v>
      </c>
      <c r="D390" s="72" t="s">
        <v>1030</v>
      </c>
      <c r="E390" s="65" t="s">
        <v>48</v>
      </c>
      <c r="F390" s="65">
        <v>22</v>
      </c>
      <c r="G390" s="89"/>
      <c r="H390" s="89"/>
      <c r="I390" s="89"/>
      <c r="J390" s="68"/>
      <c r="K390" s="89"/>
      <c r="L390" s="90"/>
      <c r="M390" s="90"/>
      <c r="N390" s="90"/>
      <c r="O390" s="90"/>
      <c r="P390" s="76"/>
      <c r="Q390" s="90"/>
      <c r="R390" s="89"/>
      <c r="S390" s="95"/>
    </row>
    <row r="391" spans="1:19">
      <c r="A391" s="64" t="s">
        <v>1031</v>
      </c>
      <c r="B391" s="65" t="s">
        <v>1032</v>
      </c>
      <c r="C391" s="65" t="s">
        <v>23</v>
      </c>
      <c r="D391" s="72" t="s">
        <v>1033</v>
      </c>
      <c r="E391" s="65" t="s">
        <v>48</v>
      </c>
      <c r="F391" s="65">
        <v>4</v>
      </c>
      <c r="G391" s="89"/>
      <c r="H391" s="89"/>
      <c r="I391" s="89"/>
      <c r="J391" s="68"/>
      <c r="K391" s="89"/>
      <c r="L391" s="90"/>
      <c r="M391" s="90"/>
      <c r="N391" s="90"/>
      <c r="O391" s="90"/>
      <c r="P391" s="76"/>
      <c r="Q391" s="90"/>
      <c r="R391" s="89"/>
      <c r="S391" s="95"/>
    </row>
    <row r="392" spans="1:19">
      <c r="A392" s="64" t="s">
        <v>1034</v>
      </c>
      <c r="B392" s="65" t="s">
        <v>1035</v>
      </c>
      <c r="C392" s="65" t="s">
        <v>23</v>
      </c>
      <c r="D392" s="72" t="s">
        <v>1036</v>
      </c>
      <c r="E392" s="65" t="s">
        <v>48</v>
      </c>
      <c r="F392" s="65">
        <v>10</v>
      </c>
      <c r="G392" s="89"/>
      <c r="H392" s="89"/>
      <c r="I392" s="89"/>
      <c r="J392" s="68"/>
      <c r="K392" s="89"/>
      <c r="L392" s="90"/>
      <c r="M392" s="90"/>
      <c r="N392" s="90"/>
      <c r="O392" s="90"/>
      <c r="P392" s="76"/>
      <c r="Q392" s="90"/>
      <c r="R392" s="89"/>
      <c r="S392" s="95"/>
    </row>
    <row r="393" spans="1:19">
      <c r="A393" s="64" t="s">
        <v>1037</v>
      </c>
      <c r="B393" s="65" t="s">
        <v>1038</v>
      </c>
      <c r="C393" s="65" t="s">
        <v>23</v>
      </c>
      <c r="D393" s="72" t="s">
        <v>1039</v>
      </c>
      <c r="E393" s="65" t="s">
        <v>48</v>
      </c>
      <c r="F393" s="65">
        <v>44</v>
      </c>
      <c r="G393" s="89"/>
      <c r="H393" s="89"/>
      <c r="I393" s="89"/>
      <c r="J393" s="68"/>
      <c r="K393" s="89"/>
      <c r="L393" s="90"/>
      <c r="M393" s="90"/>
      <c r="N393" s="90"/>
      <c r="O393" s="90"/>
      <c r="P393" s="76"/>
      <c r="Q393" s="90"/>
      <c r="R393" s="89"/>
      <c r="S393" s="95"/>
    </row>
    <row r="394" spans="1:19">
      <c r="A394" s="64" t="s">
        <v>1040</v>
      </c>
      <c r="B394" s="65" t="s">
        <v>1041</v>
      </c>
      <c r="C394" s="65" t="s">
        <v>23</v>
      </c>
      <c r="D394" s="72" t="s">
        <v>1042</v>
      </c>
      <c r="E394" s="65" t="s">
        <v>48</v>
      </c>
      <c r="F394" s="65">
        <v>58</v>
      </c>
      <c r="G394" s="89"/>
      <c r="H394" s="89"/>
      <c r="I394" s="89"/>
      <c r="J394" s="68"/>
      <c r="K394" s="89"/>
      <c r="L394" s="90"/>
      <c r="M394" s="90"/>
      <c r="N394" s="90"/>
      <c r="O394" s="90"/>
      <c r="P394" s="76"/>
      <c r="Q394" s="90"/>
      <c r="R394" s="89"/>
      <c r="S394" s="95"/>
    </row>
    <row r="395" spans="1:19">
      <c r="A395" s="64" t="s">
        <v>1043</v>
      </c>
      <c r="B395" s="65" t="s">
        <v>1044</v>
      </c>
      <c r="C395" s="65" t="s">
        <v>23</v>
      </c>
      <c r="D395" s="72" t="s">
        <v>1045</v>
      </c>
      <c r="E395" s="65" t="s">
        <v>48</v>
      </c>
      <c r="F395" s="65">
        <v>26</v>
      </c>
      <c r="G395" s="89"/>
      <c r="H395" s="89"/>
      <c r="I395" s="89"/>
      <c r="J395" s="68"/>
      <c r="K395" s="89"/>
      <c r="L395" s="90"/>
      <c r="M395" s="90"/>
      <c r="N395" s="90"/>
      <c r="O395" s="90"/>
      <c r="P395" s="76"/>
      <c r="Q395" s="90"/>
      <c r="R395" s="89"/>
      <c r="S395" s="95"/>
    </row>
    <row r="396" spans="1:19">
      <c r="A396" s="64" t="s">
        <v>1046</v>
      </c>
      <c r="B396" s="65" t="s">
        <v>1047</v>
      </c>
      <c r="C396" s="65" t="s">
        <v>23</v>
      </c>
      <c r="D396" s="72" t="s">
        <v>1048</v>
      </c>
      <c r="E396" s="65" t="s">
        <v>48</v>
      </c>
      <c r="F396" s="65">
        <v>10</v>
      </c>
      <c r="G396" s="89"/>
      <c r="H396" s="89"/>
      <c r="I396" s="89"/>
      <c r="J396" s="68"/>
      <c r="K396" s="89"/>
      <c r="L396" s="90"/>
      <c r="M396" s="90"/>
      <c r="N396" s="90"/>
      <c r="O396" s="90"/>
      <c r="P396" s="76"/>
      <c r="Q396" s="90"/>
      <c r="R396" s="89"/>
      <c r="S396" s="95"/>
    </row>
    <row r="397" spans="1:19">
      <c r="A397" s="64" t="s">
        <v>1049</v>
      </c>
      <c r="B397" s="65" t="s">
        <v>1050</v>
      </c>
      <c r="C397" s="65" t="s">
        <v>23</v>
      </c>
      <c r="D397" s="72" t="s">
        <v>1051</v>
      </c>
      <c r="E397" s="65" t="s">
        <v>48</v>
      </c>
      <c r="F397" s="65">
        <v>22</v>
      </c>
      <c r="G397" s="89"/>
      <c r="H397" s="89"/>
      <c r="I397" s="89"/>
      <c r="J397" s="68"/>
      <c r="K397" s="89"/>
      <c r="L397" s="90"/>
      <c r="M397" s="90"/>
      <c r="N397" s="90"/>
      <c r="O397" s="90"/>
      <c r="P397" s="76"/>
      <c r="Q397" s="90"/>
      <c r="R397" s="89"/>
      <c r="S397" s="95"/>
    </row>
    <row r="398" spans="1:19" ht="25.5">
      <c r="A398" s="64" t="s">
        <v>1052</v>
      </c>
      <c r="B398" s="65" t="s">
        <v>1053</v>
      </c>
      <c r="C398" s="65" t="s">
        <v>200</v>
      </c>
      <c r="D398" s="72" t="s">
        <v>1054</v>
      </c>
      <c r="E398" s="65" t="s">
        <v>253</v>
      </c>
      <c r="F398" s="65">
        <v>402</v>
      </c>
      <c r="G398" s="89"/>
      <c r="H398" s="89"/>
      <c r="I398" s="89"/>
      <c r="J398" s="68"/>
      <c r="K398" s="89"/>
      <c r="L398" s="90"/>
      <c r="M398" s="20"/>
      <c r="N398" s="90"/>
      <c r="O398" s="90"/>
      <c r="P398" s="70"/>
      <c r="Q398" s="68"/>
      <c r="R398" s="89"/>
      <c r="S398" s="71"/>
    </row>
    <row r="399" spans="1:19" ht="25.5">
      <c r="A399" s="64" t="s">
        <v>1056</v>
      </c>
      <c r="B399" s="65" t="s">
        <v>1057</v>
      </c>
      <c r="C399" s="65" t="s">
        <v>200</v>
      </c>
      <c r="D399" s="72" t="s">
        <v>1058</v>
      </c>
      <c r="E399" s="65" t="s">
        <v>253</v>
      </c>
      <c r="F399" s="65">
        <v>1</v>
      </c>
      <c r="G399" s="89"/>
      <c r="H399" s="89"/>
      <c r="I399" s="89"/>
      <c r="J399" s="68"/>
      <c r="K399" s="89"/>
      <c r="L399" s="90"/>
      <c r="M399" s="90"/>
      <c r="N399" s="90"/>
      <c r="O399" s="90"/>
      <c r="P399" s="76"/>
      <c r="Q399" s="90"/>
      <c r="R399" s="89"/>
      <c r="S399" s="95"/>
    </row>
    <row r="400" spans="1:19" ht="38.25">
      <c r="A400" s="64" t="s">
        <v>1059</v>
      </c>
      <c r="B400" s="65" t="s">
        <v>1060</v>
      </c>
      <c r="C400" s="65" t="s">
        <v>23</v>
      </c>
      <c r="D400" s="72" t="s">
        <v>1061</v>
      </c>
      <c r="E400" s="65" t="s">
        <v>48</v>
      </c>
      <c r="F400" s="65">
        <v>1</v>
      </c>
      <c r="G400" s="89"/>
      <c r="H400" s="89"/>
      <c r="I400" s="89"/>
      <c r="J400" s="68"/>
      <c r="K400" s="89"/>
      <c r="L400" s="90"/>
      <c r="M400" s="90"/>
      <c r="N400" s="90"/>
      <c r="O400" s="90"/>
      <c r="P400" s="76"/>
      <c r="Q400" s="90"/>
      <c r="R400" s="89"/>
      <c r="S400" s="95"/>
    </row>
    <row r="401" spans="1:21" ht="25.5">
      <c r="A401" s="64" t="s">
        <v>1062</v>
      </c>
      <c r="B401" s="65" t="s">
        <v>68</v>
      </c>
      <c r="C401" s="65" t="s">
        <v>23</v>
      </c>
      <c r="D401" s="72" t="s">
        <v>69</v>
      </c>
      <c r="E401" s="65" t="s">
        <v>48</v>
      </c>
      <c r="F401" s="65">
        <v>263</v>
      </c>
      <c r="G401" s="89"/>
      <c r="H401" s="89"/>
      <c r="I401" s="89"/>
      <c r="J401" s="68"/>
      <c r="K401" s="89"/>
      <c r="L401" s="90"/>
      <c r="M401" s="90"/>
      <c r="N401" s="90"/>
      <c r="O401" s="90"/>
      <c r="P401" s="76"/>
      <c r="Q401" s="90"/>
      <c r="R401" s="89"/>
      <c r="S401" s="95"/>
    </row>
    <row r="402" spans="1:21">
      <c r="A402" s="64" t="s">
        <v>1063</v>
      </c>
      <c r="B402" s="65" t="s">
        <v>1064</v>
      </c>
      <c r="C402" s="65" t="s">
        <v>23</v>
      </c>
      <c r="D402" s="72" t="s">
        <v>1065</v>
      </c>
      <c r="E402" s="65" t="s">
        <v>48</v>
      </c>
      <c r="F402" s="65">
        <v>10</v>
      </c>
      <c r="G402" s="89"/>
      <c r="H402" s="89"/>
      <c r="I402" s="89"/>
      <c r="J402" s="68"/>
      <c r="K402" s="89"/>
      <c r="L402" s="90"/>
      <c r="M402" s="90"/>
      <c r="N402" s="90"/>
      <c r="O402" s="90"/>
      <c r="P402" s="76"/>
      <c r="Q402" s="90"/>
      <c r="R402" s="89"/>
      <c r="S402" s="95"/>
    </row>
    <row r="403" spans="1:21" ht="51">
      <c r="A403" s="64" t="s">
        <v>1066</v>
      </c>
      <c r="B403" s="65" t="s">
        <v>1067</v>
      </c>
      <c r="C403" s="65" t="s">
        <v>23</v>
      </c>
      <c r="D403" s="72" t="s">
        <v>1068</v>
      </c>
      <c r="E403" s="65" t="s">
        <v>48</v>
      </c>
      <c r="F403" s="65">
        <v>46</v>
      </c>
      <c r="G403" s="89"/>
      <c r="H403" s="89"/>
      <c r="I403" s="89"/>
      <c r="J403" s="68"/>
      <c r="K403" s="89"/>
      <c r="L403" s="90"/>
      <c r="M403" s="90"/>
      <c r="N403" s="90"/>
      <c r="O403" s="90"/>
      <c r="P403" s="76"/>
      <c r="Q403" s="90"/>
      <c r="R403" s="89"/>
      <c r="S403" s="95"/>
    </row>
    <row r="404" spans="1:21" ht="25.5">
      <c r="A404" s="64" t="s">
        <v>1069</v>
      </c>
      <c r="B404" s="65" t="s">
        <v>1070</v>
      </c>
      <c r="C404" s="65" t="s">
        <v>6</v>
      </c>
      <c r="D404" s="72" t="s">
        <v>1071</v>
      </c>
      <c r="E404" s="65" t="s">
        <v>253</v>
      </c>
      <c r="F404" s="65">
        <v>26</v>
      </c>
      <c r="G404" s="89"/>
      <c r="H404" s="89"/>
      <c r="I404" s="89"/>
      <c r="J404" s="68"/>
      <c r="K404" s="89"/>
      <c r="L404" s="90"/>
      <c r="M404" s="90"/>
      <c r="N404" s="90"/>
      <c r="O404" s="90"/>
      <c r="P404" s="76"/>
      <c r="Q404" s="90"/>
      <c r="R404" s="89"/>
      <c r="S404" s="95"/>
    </row>
    <row r="405" spans="1:21" ht="25.5">
      <c r="A405" s="64" t="s">
        <v>1072</v>
      </c>
      <c r="B405" s="65" t="s">
        <v>1073</v>
      </c>
      <c r="C405" s="65" t="s">
        <v>200</v>
      </c>
      <c r="D405" s="72" t="s">
        <v>1074</v>
      </c>
      <c r="E405" s="65" t="s">
        <v>253</v>
      </c>
      <c r="F405" s="65">
        <v>24</v>
      </c>
      <c r="G405" s="89"/>
      <c r="H405" s="89"/>
      <c r="I405" s="89"/>
      <c r="J405" s="68"/>
      <c r="K405" s="89"/>
      <c r="L405" s="90"/>
      <c r="M405" s="90"/>
      <c r="N405" s="90"/>
      <c r="O405" s="90"/>
      <c r="P405" s="76"/>
      <c r="Q405" s="90"/>
      <c r="R405" s="89"/>
      <c r="S405" s="95"/>
    </row>
    <row r="406" spans="1:21" ht="25.5">
      <c r="A406" s="64" t="s">
        <v>1075</v>
      </c>
      <c r="B406" s="65" t="s">
        <v>1076</v>
      </c>
      <c r="C406" s="65" t="s">
        <v>200</v>
      </c>
      <c r="D406" s="72" t="s">
        <v>1077</v>
      </c>
      <c r="E406" s="65" t="s">
        <v>253</v>
      </c>
      <c r="F406" s="65">
        <v>1</v>
      </c>
      <c r="G406" s="89"/>
      <c r="H406" s="89"/>
      <c r="I406" s="89"/>
      <c r="J406" s="68"/>
      <c r="K406" s="89"/>
      <c r="L406" s="90"/>
      <c r="M406" s="20">
        <v>1</v>
      </c>
      <c r="N406" s="90"/>
      <c r="O406" s="90"/>
      <c r="P406" s="70" t="s">
        <v>1972</v>
      </c>
      <c r="Q406" s="68">
        <f>F406</f>
        <v>1</v>
      </c>
      <c r="R406" s="89" t="s">
        <v>2189</v>
      </c>
      <c r="S406" s="71">
        <f>F406+J406-K406+M406</f>
        <v>2</v>
      </c>
    </row>
    <row r="407" spans="1:21" ht="51">
      <c r="A407" s="64" t="s">
        <v>2190</v>
      </c>
      <c r="B407" s="65">
        <v>151127</v>
      </c>
      <c r="C407" s="65" t="s">
        <v>23</v>
      </c>
      <c r="D407" s="72" t="s">
        <v>797</v>
      </c>
      <c r="E407" s="65" t="s">
        <v>107</v>
      </c>
      <c r="F407" s="65">
        <v>485</v>
      </c>
      <c r="G407" s="89"/>
      <c r="H407" s="68">
        <v>70</v>
      </c>
      <c r="I407" s="90"/>
      <c r="J407" s="68">
        <v>210.11</v>
      </c>
      <c r="K407" s="89"/>
      <c r="L407" s="90"/>
      <c r="M407" s="90"/>
      <c r="N407" s="90"/>
      <c r="O407" s="90"/>
      <c r="P407" s="70" t="s">
        <v>1972</v>
      </c>
      <c r="Q407" s="90">
        <v>764</v>
      </c>
      <c r="R407" s="76" t="s">
        <v>2191</v>
      </c>
      <c r="S407" s="95">
        <f>Q407+2.25*10+7.5+1.65+1.6+0.4+0.4+0.38+1.1+1.35+0.45+3.3*4+21.3+22+22+21.3+9.8+9.8+3.4+3.92+4.92+6.52+8.3+3.75+2.57+6.8+3.3*4</f>
        <v>974.10999999999979</v>
      </c>
      <c r="U407" s="47" t="s">
        <v>2192</v>
      </c>
    </row>
    <row r="408" spans="1:21" ht="51">
      <c r="A408" s="64" t="s">
        <v>2193</v>
      </c>
      <c r="B408" s="65">
        <v>151402</v>
      </c>
      <c r="C408" s="65" t="s">
        <v>23</v>
      </c>
      <c r="D408" s="72" t="s">
        <v>842</v>
      </c>
      <c r="E408" s="65" t="s">
        <v>107</v>
      </c>
      <c r="F408" s="65">
        <v>24900</v>
      </c>
      <c r="G408" s="89"/>
      <c r="H408" s="68">
        <v>210.11</v>
      </c>
      <c r="I408" s="90"/>
      <c r="J408" s="68">
        <v>630.33000000000004</v>
      </c>
      <c r="K408" s="89"/>
      <c r="L408" s="90"/>
      <c r="M408" s="90"/>
      <c r="N408" s="90"/>
      <c r="O408" s="90"/>
      <c r="P408" s="76" t="s">
        <v>1996</v>
      </c>
      <c r="Q408" s="90">
        <v>764</v>
      </c>
      <c r="R408" s="76" t="s">
        <v>2194</v>
      </c>
      <c r="S408" s="95">
        <f>Q408+(2.25*10+7.5+1.65+1.6+0.4+0.4+0.38+1.1+1.35+0.45+3.3*4+21.3+22+22+21.3+9.8+9.8+3.4+3.92+4.92+6.52+8.3+3.75+2.57+6.8+3.3*4)*3</f>
        <v>1394.33</v>
      </c>
      <c r="U408" s="47" t="s">
        <v>2192</v>
      </c>
    </row>
    <row r="409" spans="1:21" ht="25.5">
      <c r="A409" s="64" t="s">
        <v>2195</v>
      </c>
      <c r="B409" s="65" t="s">
        <v>2196</v>
      </c>
      <c r="C409" s="65" t="s">
        <v>200</v>
      </c>
      <c r="D409" s="72" t="s">
        <v>877</v>
      </c>
      <c r="E409" s="65" t="s">
        <v>48</v>
      </c>
      <c r="F409" s="65">
        <v>27</v>
      </c>
      <c r="G409" s="89"/>
      <c r="H409" s="68"/>
      <c r="I409" s="90"/>
      <c r="J409" s="68">
        <v>1</v>
      </c>
      <c r="K409" s="89"/>
      <c r="L409" s="90"/>
      <c r="M409" s="90"/>
      <c r="N409" s="90"/>
      <c r="O409" s="90"/>
      <c r="P409" s="76" t="s">
        <v>1996</v>
      </c>
      <c r="Q409" s="90">
        <v>27</v>
      </c>
      <c r="R409" s="76" t="s">
        <v>2197</v>
      </c>
      <c r="S409" s="95">
        <f>Q409+1</f>
        <v>28</v>
      </c>
      <c r="U409" s="47" t="s">
        <v>2198</v>
      </c>
    </row>
    <row r="410" spans="1:21" ht="25.5">
      <c r="A410" s="64" t="s">
        <v>890</v>
      </c>
      <c r="B410" s="65" t="s">
        <v>891</v>
      </c>
      <c r="C410" s="65" t="s">
        <v>6</v>
      </c>
      <c r="D410" s="72" t="s">
        <v>892</v>
      </c>
      <c r="E410" s="65" t="s">
        <v>253</v>
      </c>
      <c r="F410" s="65">
        <v>26</v>
      </c>
      <c r="G410" s="89"/>
      <c r="H410" s="68"/>
      <c r="I410" s="90"/>
      <c r="J410" s="68">
        <v>6</v>
      </c>
      <c r="K410" s="89"/>
      <c r="L410" s="90"/>
      <c r="M410" s="90"/>
      <c r="N410" s="90"/>
      <c r="O410" s="90"/>
      <c r="P410" s="76" t="s">
        <v>1996</v>
      </c>
      <c r="Q410" s="90">
        <v>26</v>
      </c>
      <c r="R410" s="76" t="s">
        <v>2199</v>
      </c>
      <c r="S410" s="95">
        <f>Q410+6</f>
        <v>32</v>
      </c>
      <c r="U410" s="47" t="s">
        <v>2198</v>
      </c>
    </row>
    <row r="411" spans="1:21" ht="38.25">
      <c r="A411" s="64" t="s">
        <v>2200</v>
      </c>
      <c r="B411" s="65" t="s">
        <v>903</v>
      </c>
      <c r="C411" s="65" t="s">
        <v>200</v>
      </c>
      <c r="D411" s="72" t="s">
        <v>904</v>
      </c>
      <c r="E411" s="65" t="s">
        <v>48</v>
      </c>
      <c r="F411" s="65">
        <v>764</v>
      </c>
      <c r="G411" s="89"/>
      <c r="H411" s="68">
        <v>76.849999999999994</v>
      </c>
      <c r="I411" s="90"/>
      <c r="J411" s="68">
        <v>82</v>
      </c>
      <c r="K411" s="89"/>
      <c r="L411" s="90"/>
      <c r="M411" s="20">
        <v>20</v>
      </c>
      <c r="N411" s="90"/>
      <c r="O411" s="90"/>
      <c r="P411" s="70" t="s">
        <v>1972</v>
      </c>
      <c r="Q411" s="68">
        <f>F411</f>
        <v>764</v>
      </c>
      <c r="R411" s="89" t="s">
        <v>2493</v>
      </c>
      <c r="S411" s="71">
        <f>F411+J411-K411+M411</f>
        <v>866</v>
      </c>
      <c r="U411" s="47" t="s">
        <v>2201</v>
      </c>
    </row>
    <row r="412" spans="1:21" ht="25.5">
      <c r="A412" s="100">
        <v>15137</v>
      </c>
      <c r="B412" s="65">
        <v>62870</v>
      </c>
      <c r="C412" s="65" t="s">
        <v>6</v>
      </c>
      <c r="D412" s="72" t="s">
        <v>1055</v>
      </c>
      <c r="E412" s="65" t="s">
        <v>48</v>
      </c>
      <c r="F412" s="65">
        <v>224</v>
      </c>
      <c r="G412" s="89"/>
      <c r="H412" s="89"/>
      <c r="I412" s="89"/>
      <c r="J412" s="68">
        <v>28</v>
      </c>
      <c r="K412" s="89"/>
      <c r="L412" s="90"/>
      <c r="M412" s="90"/>
      <c r="N412" s="90"/>
      <c r="O412" s="90"/>
      <c r="P412" s="76" t="s">
        <v>1996</v>
      </c>
      <c r="Q412" s="90">
        <v>224</v>
      </c>
      <c r="R412" s="89" t="s">
        <v>2202</v>
      </c>
      <c r="S412" s="95">
        <f>Q412+28</f>
        <v>252</v>
      </c>
    </row>
    <row r="413" spans="1:21">
      <c r="A413" s="60" t="s">
        <v>1078</v>
      </c>
      <c r="B413" s="21"/>
      <c r="C413" s="21"/>
      <c r="D413" s="61" t="s">
        <v>1079</v>
      </c>
      <c r="E413" s="21"/>
      <c r="F413" s="21"/>
      <c r="G413" s="89"/>
      <c r="H413" s="89"/>
      <c r="I413" s="89"/>
      <c r="J413" s="91"/>
      <c r="K413" s="91"/>
      <c r="L413" s="92"/>
      <c r="M413" s="12"/>
      <c r="N413" s="92"/>
      <c r="O413" s="92"/>
      <c r="P413" s="93"/>
      <c r="Q413" s="92"/>
      <c r="R413" s="91"/>
      <c r="S413" s="94"/>
    </row>
    <row r="414" spans="1:21" ht="25.5">
      <c r="A414" s="60" t="s">
        <v>1080</v>
      </c>
      <c r="B414" s="21"/>
      <c r="C414" s="21"/>
      <c r="D414" s="61" t="s">
        <v>1081</v>
      </c>
      <c r="E414" s="21"/>
      <c r="F414" s="21"/>
      <c r="G414" s="89"/>
      <c r="H414" s="89"/>
      <c r="I414" s="89"/>
      <c r="J414" s="91"/>
      <c r="K414" s="91"/>
      <c r="L414" s="92"/>
      <c r="M414" s="12"/>
      <c r="N414" s="92"/>
      <c r="O414" s="92"/>
      <c r="P414" s="93"/>
      <c r="Q414" s="92"/>
      <c r="R414" s="91"/>
      <c r="S414" s="94"/>
    </row>
    <row r="415" spans="1:21" ht="15">
      <c r="A415" s="64" t="s">
        <v>1082</v>
      </c>
      <c r="B415" s="65" t="s">
        <v>670</v>
      </c>
      <c r="C415" s="65" t="s">
        <v>23</v>
      </c>
      <c r="D415" s="72" t="s">
        <v>671</v>
      </c>
      <c r="E415" s="65" t="s">
        <v>107</v>
      </c>
      <c r="F415" s="65">
        <v>6</v>
      </c>
      <c r="G415" s="89"/>
      <c r="H415" s="89"/>
      <c r="I415" s="89"/>
      <c r="J415" s="68"/>
      <c r="K415" s="89"/>
      <c r="L415" s="90"/>
      <c r="M415" s="20"/>
      <c r="N415" s="90"/>
      <c r="O415" s="90"/>
      <c r="P415" s="76"/>
      <c r="Q415" s="90"/>
      <c r="R415" s="89"/>
      <c r="S415" s="95"/>
    </row>
    <row r="416" spans="1:21" ht="15">
      <c r="A416" s="64" t="s">
        <v>1083</v>
      </c>
      <c r="B416" s="65" t="s">
        <v>673</v>
      </c>
      <c r="C416" s="65" t="s">
        <v>23</v>
      </c>
      <c r="D416" s="72" t="s">
        <v>674</v>
      </c>
      <c r="E416" s="65" t="s">
        <v>107</v>
      </c>
      <c r="F416" s="65">
        <v>6</v>
      </c>
      <c r="G416" s="89"/>
      <c r="H416" s="89"/>
      <c r="I416" s="89"/>
      <c r="J416" s="68"/>
      <c r="K416" s="89"/>
      <c r="L416" s="90"/>
      <c r="M416" s="20"/>
      <c r="N416" s="90"/>
      <c r="O416" s="90"/>
      <c r="P416" s="76"/>
      <c r="Q416" s="90"/>
      <c r="R416" s="89"/>
      <c r="S416" s="95"/>
    </row>
    <row r="417" spans="1:19" ht="15">
      <c r="A417" s="64" t="s">
        <v>1084</v>
      </c>
      <c r="B417" s="65" t="s">
        <v>742</v>
      </c>
      <c r="C417" s="65" t="s">
        <v>23</v>
      </c>
      <c r="D417" s="72" t="s">
        <v>743</v>
      </c>
      <c r="E417" s="65" t="s">
        <v>48</v>
      </c>
      <c r="F417" s="65">
        <v>12</v>
      </c>
      <c r="G417" s="89"/>
      <c r="H417" s="89"/>
      <c r="I417" s="89"/>
      <c r="J417" s="68"/>
      <c r="K417" s="89"/>
      <c r="L417" s="90"/>
      <c r="M417" s="20"/>
      <c r="N417" s="90"/>
      <c r="O417" s="90"/>
      <c r="P417" s="76"/>
      <c r="Q417" s="90"/>
      <c r="R417" s="89"/>
      <c r="S417" s="95"/>
    </row>
    <row r="418" spans="1:19" ht="15">
      <c r="A418" s="64" t="s">
        <v>1085</v>
      </c>
      <c r="B418" s="65" t="s">
        <v>745</v>
      </c>
      <c r="C418" s="65" t="s">
        <v>23</v>
      </c>
      <c r="D418" s="72" t="s">
        <v>746</v>
      </c>
      <c r="E418" s="65" t="s">
        <v>48</v>
      </c>
      <c r="F418" s="65">
        <v>149</v>
      </c>
      <c r="G418" s="89"/>
      <c r="H418" s="89"/>
      <c r="I418" s="89"/>
      <c r="J418" s="68"/>
      <c r="K418" s="89"/>
      <c r="L418" s="90"/>
      <c r="M418" s="20"/>
      <c r="N418" s="90"/>
      <c r="O418" s="90"/>
      <c r="P418" s="76"/>
      <c r="Q418" s="90"/>
      <c r="R418" s="89"/>
      <c r="S418" s="95"/>
    </row>
    <row r="419" spans="1:19" ht="38.25">
      <c r="A419" s="64" t="s">
        <v>1086</v>
      </c>
      <c r="B419" s="65" t="s">
        <v>1087</v>
      </c>
      <c r="C419" s="65" t="s">
        <v>23</v>
      </c>
      <c r="D419" s="72" t="s">
        <v>1088</v>
      </c>
      <c r="E419" s="65" t="s">
        <v>48</v>
      </c>
      <c r="F419" s="65">
        <v>4</v>
      </c>
      <c r="G419" s="89"/>
      <c r="H419" s="89"/>
      <c r="I419" s="89"/>
      <c r="J419" s="68"/>
      <c r="K419" s="89"/>
      <c r="L419" s="90"/>
      <c r="M419" s="20"/>
      <c r="N419" s="90"/>
      <c r="O419" s="90"/>
      <c r="P419" s="76"/>
      <c r="Q419" s="90"/>
      <c r="R419" s="89"/>
      <c r="S419" s="95"/>
    </row>
    <row r="420" spans="1:19" ht="38.25">
      <c r="A420" s="64" t="s">
        <v>1089</v>
      </c>
      <c r="B420" s="65" t="s">
        <v>748</v>
      </c>
      <c r="C420" s="65" t="s">
        <v>23</v>
      </c>
      <c r="D420" s="72" t="s">
        <v>749</v>
      </c>
      <c r="E420" s="65" t="s">
        <v>48</v>
      </c>
      <c r="F420" s="65">
        <v>5</v>
      </c>
      <c r="G420" s="89"/>
      <c r="H420" s="89"/>
      <c r="I420" s="89"/>
      <c r="J420" s="68"/>
      <c r="K420" s="89"/>
      <c r="L420" s="90"/>
      <c r="M420" s="20"/>
      <c r="N420" s="90"/>
      <c r="O420" s="90"/>
      <c r="P420" s="76"/>
      <c r="Q420" s="90"/>
      <c r="R420" s="89"/>
      <c r="S420" s="95"/>
    </row>
    <row r="421" spans="1:19" ht="38.25">
      <c r="A421" s="64" t="s">
        <v>1090</v>
      </c>
      <c r="B421" s="65" t="s">
        <v>1091</v>
      </c>
      <c r="C421" s="65" t="s">
        <v>23</v>
      </c>
      <c r="D421" s="72" t="s">
        <v>1092</v>
      </c>
      <c r="E421" s="65" t="s">
        <v>48</v>
      </c>
      <c r="F421" s="65">
        <v>1</v>
      </c>
      <c r="G421" s="89"/>
      <c r="H421" s="89"/>
      <c r="I421" s="89"/>
      <c r="J421" s="68"/>
      <c r="K421" s="89"/>
      <c r="L421" s="90"/>
      <c r="M421" s="20"/>
      <c r="N421" s="90"/>
      <c r="O421" s="90"/>
      <c r="P421" s="76"/>
      <c r="Q421" s="90"/>
      <c r="R421" s="89"/>
      <c r="S421" s="95"/>
    </row>
    <row r="422" spans="1:19" ht="38.25">
      <c r="A422" s="64" t="s">
        <v>1093</v>
      </c>
      <c r="B422" s="65" t="s">
        <v>751</v>
      </c>
      <c r="C422" s="65" t="s">
        <v>23</v>
      </c>
      <c r="D422" s="72" t="s">
        <v>752</v>
      </c>
      <c r="E422" s="65" t="s">
        <v>48</v>
      </c>
      <c r="F422" s="65">
        <v>1</v>
      </c>
      <c r="G422" s="89"/>
      <c r="H422" s="89"/>
      <c r="I422" s="89"/>
      <c r="J422" s="68"/>
      <c r="K422" s="89"/>
      <c r="L422" s="90"/>
      <c r="M422" s="20"/>
      <c r="N422" s="90"/>
      <c r="O422" s="90"/>
      <c r="P422" s="76"/>
      <c r="Q422" s="90"/>
      <c r="R422" s="89"/>
      <c r="S422" s="95"/>
    </row>
    <row r="423" spans="1:19" ht="25.5">
      <c r="A423" s="64" t="s">
        <v>1094</v>
      </c>
      <c r="B423" s="65" t="s">
        <v>757</v>
      </c>
      <c r="C423" s="65" t="s">
        <v>23</v>
      </c>
      <c r="D423" s="72" t="s">
        <v>758</v>
      </c>
      <c r="E423" s="65" t="s">
        <v>48</v>
      </c>
      <c r="F423" s="65">
        <v>2</v>
      </c>
      <c r="G423" s="89"/>
      <c r="H423" s="89"/>
      <c r="I423" s="89"/>
      <c r="J423" s="68"/>
      <c r="K423" s="89"/>
      <c r="L423" s="90"/>
      <c r="M423" s="20"/>
      <c r="N423" s="90"/>
      <c r="O423" s="90"/>
      <c r="P423" s="76"/>
      <c r="Q423" s="90"/>
      <c r="R423" s="89"/>
      <c r="S423" s="95"/>
    </row>
    <row r="424" spans="1:19" ht="25.5">
      <c r="A424" s="64" t="s">
        <v>1095</v>
      </c>
      <c r="B424" s="65" t="s">
        <v>1096</v>
      </c>
      <c r="C424" s="65" t="s">
        <v>23</v>
      </c>
      <c r="D424" s="72" t="s">
        <v>1097</v>
      </c>
      <c r="E424" s="65" t="s">
        <v>48</v>
      </c>
      <c r="F424" s="65">
        <v>1</v>
      </c>
      <c r="G424" s="89"/>
      <c r="H424" s="89"/>
      <c r="I424" s="89"/>
      <c r="J424" s="68"/>
      <c r="K424" s="89"/>
      <c r="L424" s="90"/>
      <c r="M424" s="20"/>
      <c r="N424" s="90"/>
      <c r="O424" s="90"/>
      <c r="P424" s="76"/>
      <c r="Q424" s="90"/>
      <c r="R424" s="89"/>
      <c r="S424" s="95"/>
    </row>
    <row r="425" spans="1:19" ht="25.5">
      <c r="A425" s="64" t="s">
        <v>1098</v>
      </c>
      <c r="B425" s="65" t="s">
        <v>787</v>
      </c>
      <c r="C425" s="65" t="s">
        <v>23</v>
      </c>
      <c r="D425" s="72" t="s">
        <v>788</v>
      </c>
      <c r="E425" s="65" t="s">
        <v>107</v>
      </c>
      <c r="F425" s="65">
        <v>260</v>
      </c>
      <c r="G425" s="89"/>
      <c r="H425" s="89"/>
      <c r="I425" s="89"/>
      <c r="J425" s="68"/>
      <c r="K425" s="89"/>
      <c r="L425" s="90"/>
      <c r="M425" s="20"/>
      <c r="N425" s="90"/>
      <c r="O425" s="90"/>
      <c r="P425" s="76"/>
      <c r="Q425" s="90"/>
      <c r="R425" s="89"/>
      <c r="S425" s="95"/>
    </row>
    <row r="426" spans="1:19" ht="25.5">
      <c r="A426" s="64" t="s">
        <v>1099</v>
      </c>
      <c r="B426" s="65" t="s">
        <v>799</v>
      </c>
      <c r="C426" s="65" t="s">
        <v>23</v>
      </c>
      <c r="D426" s="72" t="s">
        <v>800</v>
      </c>
      <c r="E426" s="65" t="s">
        <v>107</v>
      </c>
      <c r="F426" s="65">
        <v>3</v>
      </c>
      <c r="G426" s="89"/>
      <c r="H426" s="89"/>
      <c r="I426" s="89"/>
      <c r="J426" s="68"/>
      <c r="K426" s="89"/>
      <c r="L426" s="90"/>
      <c r="M426" s="20"/>
      <c r="N426" s="90"/>
      <c r="O426" s="90"/>
      <c r="P426" s="76"/>
      <c r="Q426" s="90"/>
      <c r="R426" s="89"/>
      <c r="S426" s="95"/>
    </row>
    <row r="427" spans="1:19" ht="25.5">
      <c r="A427" s="64" t="s">
        <v>1100</v>
      </c>
      <c r="B427" s="65" t="s">
        <v>856</v>
      </c>
      <c r="C427" s="65" t="s">
        <v>23</v>
      </c>
      <c r="D427" s="72" t="s">
        <v>857</v>
      </c>
      <c r="E427" s="65" t="s">
        <v>48</v>
      </c>
      <c r="F427" s="65">
        <v>4</v>
      </c>
      <c r="G427" s="89"/>
      <c r="H427" s="89"/>
      <c r="I427" s="89"/>
      <c r="J427" s="68"/>
      <c r="K427" s="89"/>
      <c r="L427" s="90"/>
      <c r="M427" s="20"/>
      <c r="N427" s="90"/>
      <c r="O427" s="90"/>
      <c r="P427" s="76"/>
      <c r="Q427" s="90"/>
      <c r="R427" s="89"/>
      <c r="S427" s="95"/>
    </row>
    <row r="428" spans="1:19" ht="25.5">
      <c r="A428" s="64" t="s">
        <v>1101</v>
      </c>
      <c r="B428" s="65" t="s">
        <v>1102</v>
      </c>
      <c r="C428" s="65" t="s">
        <v>23</v>
      </c>
      <c r="D428" s="72" t="s">
        <v>1103</v>
      </c>
      <c r="E428" s="65" t="s">
        <v>107</v>
      </c>
      <c r="F428" s="65">
        <v>1930</v>
      </c>
      <c r="G428" s="89"/>
      <c r="H428" s="89"/>
      <c r="I428" s="89"/>
      <c r="J428" s="68"/>
      <c r="K428" s="89"/>
      <c r="L428" s="90"/>
      <c r="M428" s="20"/>
      <c r="N428" s="90"/>
      <c r="O428" s="90"/>
      <c r="P428" s="76"/>
      <c r="Q428" s="90"/>
      <c r="R428" s="89"/>
      <c r="S428" s="95"/>
    </row>
    <row r="429" spans="1:19" ht="25.5">
      <c r="A429" s="64" t="s">
        <v>1104</v>
      </c>
      <c r="B429" s="65" t="s">
        <v>1105</v>
      </c>
      <c r="C429" s="65" t="s">
        <v>23</v>
      </c>
      <c r="D429" s="72" t="s">
        <v>1106</v>
      </c>
      <c r="E429" s="65" t="s">
        <v>48</v>
      </c>
      <c r="F429" s="65">
        <v>7</v>
      </c>
      <c r="G429" s="89"/>
      <c r="H429" s="89"/>
      <c r="I429" s="89"/>
      <c r="J429" s="68"/>
      <c r="K429" s="89"/>
      <c r="L429" s="90"/>
      <c r="M429" s="20"/>
      <c r="N429" s="90"/>
      <c r="O429" s="90"/>
      <c r="P429" s="76"/>
      <c r="Q429" s="90"/>
      <c r="R429" s="89"/>
      <c r="S429" s="95"/>
    </row>
    <row r="430" spans="1:19" ht="15">
      <c r="A430" s="64" t="s">
        <v>1107</v>
      </c>
      <c r="B430" s="65" t="s">
        <v>984</v>
      </c>
      <c r="C430" s="65" t="s">
        <v>23</v>
      </c>
      <c r="D430" s="72" t="s">
        <v>985</v>
      </c>
      <c r="E430" s="65" t="s">
        <v>48</v>
      </c>
      <c r="F430" s="65">
        <v>1</v>
      </c>
      <c r="G430" s="89"/>
      <c r="H430" s="89"/>
      <c r="I430" s="89"/>
      <c r="J430" s="68"/>
      <c r="K430" s="89"/>
      <c r="L430" s="90"/>
      <c r="M430" s="20"/>
      <c r="N430" s="90"/>
      <c r="O430" s="90"/>
      <c r="P430" s="76"/>
      <c r="Q430" s="90"/>
      <c r="R430" s="89"/>
      <c r="S430" s="95"/>
    </row>
    <row r="431" spans="1:19" ht="25.5">
      <c r="A431" s="64" t="s">
        <v>1108</v>
      </c>
      <c r="B431" s="65" t="s">
        <v>1109</v>
      </c>
      <c r="C431" s="65" t="s">
        <v>200</v>
      </c>
      <c r="D431" s="72" t="s">
        <v>1110</v>
      </c>
      <c r="E431" s="65" t="s">
        <v>253</v>
      </c>
      <c r="F431" s="65">
        <v>1</v>
      </c>
      <c r="G431" s="89"/>
      <c r="H431" s="89"/>
      <c r="I431" s="89"/>
      <c r="J431" s="68"/>
      <c r="K431" s="89">
        <v>1</v>
      </c>
      <c r="L431" s="90"/>
      <c r="M431" s="20"/>
      <c r="N431" s="90"/>
      <c r="O431" s="90"/>
      <c r="P431" s="76"/>
      <c r="Q431" s="90">
        <f>F431</f>
        <v>1</v>
      </c>
      <c r="R431" s="89" t="s">
        <v>2203</v>
      </c>
      <c r="S431" s="95">
        <f>Q431-K431</f>
        <v>0</v>
      </c>
    </row>
    <row r="432" spans="1:19" ht="25.5">
      <c r="A432" s="64" t="s">
        <v>1111</v>
      </c>
      <c r="B432" s="65" t="s">
        <v>1112</v>
      </c>
      <c r="C432" s="65" t="s">
        <v>200</v>
      </c>
      <c r="D432" s="72" t="s">
        <v>1113</v>
      </c>
      <c r="E432" s="65" t="s">
        <v>253</v>
      </c>
      <c r="F432" s="65">
        <v>1</v>
      </c>
      <c r="G432" s="89"/>
      <c r="H432" s="89"/>
      <c r="I432" s="89"/>
      <c r="J432" s="68"/>
      <c r="K432" s="89"/>
      <c r="L432" s="90"/>
      <c r="M432" s="20"/>
      <c r="N432" s="90"/>
      <c r="O432" s="90"/>
      <c r="P432" s="76"/>
      <c r="Q432" s="90"/>
      <c r="R432" s="89"/>
      <c r="S432" s="95"/>
    </row>
    <row r="433" spans="1:19" ht="51">
      <c r="A433" s="64" t="s">
        <v>1114</v>
      </c>
      <c r="B433" s="65" t="s">
        <v>1011</v>
      </c>
      <c r="C433" s="65" t="s">
        <v>23</v>
      </c>
      <c r="D433" s="72" t="s">
        <v>1012</v>
      </c>
      <c r="E433" s="65" t="s">
        <v>48</v>
      </c>
      <c r="F433" s="65">
        <v>390</v>
      </c>
      <c r="G433" s="89"/>
      <c r="H433" s="89"/>
      <c r="I433" s="89"/>
      <c r="J433" s="68"/>
      <c r="K433" s="89"/>
      <c r="L433" s="90"/>
      <c r="M433" s="20"/>
      <c r="N433" s="90"/>
      <c r="O433" s="90"/>
      <c r="P433" s="76"/>
      <c r="Q433" s="90"/>
      <c r="R433" s="89"/>
      <c r="S433" s="95"/>
    </row>
    <row r="434" spans="1:19">
      <c r="A434" s="60" t="s">
        <v>1115</v>
      </c>
      <c r="B434" s="21"/>
      <c r="C434" s="21"/>
      <c r="D434" s="61" t="s">
        <v>1116</v>
      </c>
      <c r="E434" s="21"/>
      <c r="F434" s="21"/>
      <c r="G434" s="89"/>
      <c r="H434" s="89"/>
      <c r="I434" s="89"/>
      <c r="J434" s="91"/>
      <c r="K434" s="91"/>
      <c r="L434" s="92"/>
      <c r="M434" s="12"/>
      <c r="N434" s="92"/>
      <c r="O434" s="92"/>
      <c r="P434" s="93"/>
      <c r="Q434" s="92"/>
      <c r="R434" s="91"/>
      <c r="S434" s="94"/>
    </row>
    <row r="435" spans="1:19" ht="25.5">
      <c r="A435" s="64" t="s">
        <v>1117</v>
      </c>
      <c r="B435" s="65" t="s">
        <v>796</v>
      </c>
      <c r="C435" s="65" t="s">
        <v>23</v>
      </c>
      <c r="D435" s="72" t="s">
        <v>797</v>
      </c>
      <c r="E435" s="65" t="s">
        <v>107</v>
      </c>
      <c r="F435" s="65">
        <v>8</v>
      </c>
      <c r="G435" s="89"/>
      <c r="H435" s="89"/>
      <c r="I435" s="89"/>
      <c r="J435" s="68"/>
      <c r="K435" s="89"/>
      <c r="L435" s="90"/>
      <c r="M435" s="20"/>
      <c r="N435" s="90"/>
      <c r="O435" s="90"/>
      <c r="P435" s="76"/>
      <c r="Q435" s="90"/>
      <c r="R435" s="89"/>
      <c r="S435" s="95"/>
    </row>
    <row r="436" spans="1:19" ht="25.5">
      <c r="A436" s="64" t="s">
        <v>1118</v>
      </c>
      <c r="B436" s="65" t="s">
        <v>1119</v>
      </c>
      <c r="C436" s="65" t="s">
        <v>200</v>
      </c>
      <c r="D436" s="72" t="s">
        <v>1120</v>
      </c>
      <c r="E436" s="65" t="s">
        <v>253</v>
      </c>
      <c r="F436" s="65">
        <v>26</v>
      </c>
      <c r="G436" s="89"/>
      <c r="H436" s="89"/>
      <c r="I436" s="89"/>
      <c r="J436" s="68"/>
      <c r="K436" s="89"/>
      <c r="L436" s="90"/>
      <c r="M436" s="20"/>
      <c r="N436" s="90"/>
      <c r="O436" s="90"/>
      <c r="P436" s="76"/>
      <c r="Q436" s="90"/>
      <c r="R436" s="89"/>
      <c r="S436" s="95"/>
    </row>
    <row r="437" spans="1:19" ht="25.5">
      <c r="A437" s="64" t="s">
        <v>1121</v>
      </c>
      <c r="B437" s="65" t="s">
        <v>1122</v>
      </c>
      <c r="C437" s="65" t="s">
        <v>23</v>
      </c>
      <c r="D437" s="72" t="s">
        <v>1123</v>
      </c>
      <c r="E437" s="65" t="s">
        <v>48</v>
      </c>
      <c r="F437" s="65">
        <v>25</v>
      </c>
      <c r="G437" s="89"/>
      <c r="H437" s="89"/>
      <c r="I437" s="89"/>
      <c r="J437" s="68"/>
      <c r="K437" s="89"/>
      <c r="L437" s="90"/>
      <c r="M437" s="20"/>
      <c r="N437" s="90"/>
      <c r="O437" s="90"/>
      <c r="P437" s="76"/>
      <c r="Q437" s="90"/>
      <c r="R437" s="89"/>
      <c r="S437" s="95"/>
    </row>
    <row r="438" spans="1:19" ht="38.25">
      <c r="A438" s="64" t="s">
        <v>1124</v>
      </c>
      <c r="B438" s="65" t="s">
        <v>1125</v>
      </c>
      <c r="C438" s="65" t="s">
        <v>23</v>
      </c>
      <c r="D438" s="72" t="s">
        <v>1126</v>
      </c>
      <c r="E438" s="65" t="s">
        <v>107</v>
      </c>
      <c r="F438" s="65">
        <v>900</v>
      </c>
      <c r="G438" s="89"/>
      <c r="H438" s="89"/>
      <c r="I438" s="89"/>
      <c r="J438" s="68"/>
      <c r="K438" s="89"/>
      <c r="L438" s="90"/>
      <c r="M438" s="20"/>
      <c r="N438" s="90"/>
      <c r="O438" s="90"/>
      <c r="P438" s="76"/>
      <c r="Q438" s="90"/>
      <c r="R438" s="89"/>
      <c r="S438" s="95"/>
    </row>
    <row r="439" spans="1:19" ht="51">
      <c r="A439" s="64" t="s">
        <v>1127</v>
      </c>
      <c r="B439" s="65" t="s">
        <v>1128</v>
      </c>
      <c r="C439" s="65" t="s">
        <v>133</v>
      </c>
      <c r="D439" s="72" t="s">
        <v>1129</v>
      </c>
      <c r="E439" s="65" t="s">
        <v>193</v>
      </c>
      <c r="F439" s="65">
        <v>10</v>
      </c>
      <c r="G439" s="89"/>
      <c r="H439" s="89"/>
      <c r="I439" s="89"/>
      <c r="J439" s="68"/>
      <c r="K439" s="89"/>
      <c r="L439" s="90"/>
      <c r="M439" s="20"/>
      <c r="N439" s="90"/>
      <c r="O439" s="90"/>
      <c r="P439" s="76"/>
      <c r="Q439" s="90"/>
      <c r="R439" s="89"/>
      <c r="S439" s="95"/>
    </row>
    <row r="440" spans="1:19" ht="25.5">
      <c r="A440" s="64" t="s">
        <v>1130</v>
      </c>
      <c r="B440" s="65" t="s">
        <v>691</v>
      </c>
      <c r="C440" s="65" t="s">
        <v>23</v>
      </c>
      <c r="D440" s="72" t="s">
        <v>692</v>
      </c>
      <c r="E440" s="65" t="s">
        <v>107</v>
      </c>
      <c r="F440" s="65">
        <v>47</v>
      </c>
      <c r="G440" s="89"/>
      <c r="H440" s="89"/>
      <c r="I440" s="89"/>
      <c r="J440" s="68"/>
      <c r="K440" s="89"/>
      <c r="L440" s="90"/>
      <c r="M440" s="20"/>
      <c r="N440" s="90"/>
      <c r="O440" s="90"/>
      <c r="P440" s="76"/>
      <c r="Q440" s="90"/>
      <c r="R440" s="89"/>
      <c r="S440" s="95"/>
    </row>
    <row r="441" spans="1:19" ht="51">
      <c r="A441" s="64" t="s">
        <v>1131</v>
      </c>
      <c r="B441" s="65" t="s">
        <v>1132</v>
      </c>
      <c r="C441" s="65" t="s">
        <v>23</v>
      </c>
      <c r="D441" s="72" t="s">
        <v>1133</v>
      </c>
      <c r="E441" s="65" t="s">
        <v>107</v>
      </c>
      <c r="F441" s="65">
        <v>600</v>
      </c>
      <c r="G441" s="89"/>
      <c r="H441" s="89"/>
      <c r="I441" s="89"/>
      <c r="J441" s="68"/>
      <c r="K441" s="89"/>
      <c r="L441" s="90"/>
      <c r="M441" s="20"/>
      <c r="N441" s="90"/>
      <c r="O441" s="90"/>
      <c r="P441" s="76"/>
      <c r="Q441" s="90"/>
      <c r="R441" s="89"/>
      <c r="S441" s="95"/>
    </row>
    <row r="442" spans="1:19" ht="25.5">
      <c r="A442" s="64" t="s">
        <v>1134</v>
      </c>
      <c r="B442" s="65" t="s">
        <v>1135</v>
      </c>
      <c r="C442" s="65" t="s">
        <v>23</v>
      </c>
      <c r="D442" s="72" t="s">
        <v>1136</v>
      </c>
      <c r="E442" s="65" t="s">
        <v>107</v>
      </c>
      <c r="F442" s="65">
        <v>25</v>
      </c>
      <c r="G442" s="89"/>
      <c r="H442" s="89"/>
      <c r="I442" s="89"/>
      <c r="J442" s="68"/>
      <c r="K442" s="89"/>
      <c r="L442" s="90"/>
      <c r="M442" s="20"/>
      <c r="N442" s="90"/>
      <c r="O442" s="90"/>
      <c r="P442" s="76"/>
      <c r="Q442" s="90"/>
      <c r="R442" s="89"/>
      <c r="S442" s="95"/>
    </row>
    <row r="443" spans="1:19" ht="25.5">
      <c r="A443" s="64" t="s">
        <v>1137</v>
      </c>
      <c r="B443" s="65" t="s">
        <v>754</v>
      </c>
      <c r="C443" s="65" t="s">
        <v>23</v>
      </c>
      <c r="D443" s="72" t="s">
        <v>755</v>
      </c>
      <c r="E443" s="65" t="s">
        <v>48</v>
      </c>
      <c r="F443" s="65">
        <v>25</v>
      </c>
      <c r="G443" s="89"/>
      <c r="H443" s="89"/>
      <c r="I443" s="89"/>
      <c r="J443" s="68"/>
      <c r="K443" s="89"/>
      <c r="L443" s="90"/>
      <c r="M443" s="20"/>
      <c r="N443" s="90"/>
      <c r="O443" s="90"/>
      <c r="P443" s="76"/>
      <c r="Q443" s="90"/>
      <c r="R443" s="89"/>
      <c r="S443" s="95"/>
    </row>
    <row r="444" spans="1:19" ht="38.25">
      <c r="A444" s="64" t="s">
        <v>1138</v>
      </c>
      <c r="B444" s="65" t="s">
        <v>1139</v>
      </c>
      <c r="C444" s="65" t="s">
        <v>23</v>
      </c>
      <c r="D444" s="72" t="s">
        <v>1140</v>
      </c>
      <c r="E444" s="65" t="s">
        <v>48</v>
      </c>
      <c r="F444" s="65">
        <v>25</v>
      </c>
      <c r="G444" s="89"/>
      <c r="H444" s="89"/>
      <c r="I444" s="89"/>
      <c r="J444" s="68"/>
      <c r="K444" s="89"/>
      <c r="L444" s="90"/>
      <c r="M444" s="20"/>
      <c r="N444" s="90"/>
      <c r="O444" s="90"/>
      <c r="P444" s="76"/>
      <c r="Q444" s="90"/>
      <c r="R444" s="89"/>
      <c r="S444" s="95"/>
    </row>
    <row r="445" spans="1:19" ht="15">
      <c r="A445" s="64" t="s">
        <v>1141</v>
      </c>
      <c r="B445" s="65" t="s">
        <v>775</v>
      </c>
      <c r="C445" s="65" t="s">
        <v>23</v>
      </c>
      <c r="D445" s="72" t="s">
        <v>776</v>
      </c>
      <c r="E445" s="65" t="s">
        <v>48</v>
      </c>
      <c r="F445" s="65">
        <v>6</v>
      </c>
      <c r="G445" s="89"/>
      <c r="H445" s="89"/>
      <c r="I445" s="89"/>
      <c r="J445" s="68"/>
      <c r="K445" s="89"/>
      <c r="L445" s="90"/>
      <c r="M445" s="20"/>
      <c r="N445" s="90"/>
      <c r="O445" s="90"/>
      <c r="P445" s="76"/>
      <c r="Q445" s="90"/>
      <c r="R445" s="89"/>
      <c r="S445" s="95"/>
    </row>
    <row r="446" spans="1:19" ht="38.25">
      <c r="A446" s="64" t="s">
        <v>1142</v>
      </c>
      <c r="B446" s="65" t="s">
        <v>1143</v>
      </c>
      <c r="C446" s="65" t="s">
        <v>23</v>
      </c>
      <c r="D446" s="72" t="s">
        <v>1144</v>
      </c>
      <c r="E446" s="65" t="s">
        <v>48</v>
      </c>
      <c r="F446" s="65">
        <v>103</v>
      </c>
      <c r="G446" s="89"/>
      <c r="H446" s="89"/>
      <c r="I446" s="89"/>
      <c r="J446" s="68"/>
      <c r="K446" s="89"/>
      <c r="L446" s="90"/>
      <c r="M446" s="20"/>
      <c r="N446" s="90"/>
      <c r="O446" s="90"/>
      <c r="P446" s="76"/>
      <c r="Q446" s="90"/>
      <c r="R446" s="89"/>
      <c r="S446" s="95"/>
    </row>
    <row r="447" spans="1:19" ht="25.5">
      <c r="A447" s="64" t="s">
        <v>1145</v>
      </c>
      <c r="B447" s="65" t="s">
        <v>814</v>
      </c>
      <c r="C447" s="65" t="s">
        <v>23</v>
      </c>
      <c r="D447" s="72" t="s">
        <v>815</v>
      </c>
      <c r="E447" s="65" t="s">
        <v>107</v>
      </c>
      <c r="F447" s="65">
        <v>10</v>
      </c>
      <c r="G447" s="89"/>
      <c r="H447" s="89"/>
      <c r="I447" s="89"/>
      <c r="J447" s="68"/>
      <c r="K447" s="89"/>
      <c r="L447" s="90"/>
      <c r="M447" s="20"/>
      <c r="N447" s="90"/>
      <c r="O447" s="90"/>
      <c r="P447" s="76"/>
      <c r="Q447" s="90"/>
      <c r="R447" s="89"/>
      <c r="S447" s="95"/>
    </row>
    <row r="448" spans="1:19" ht="51">
      <c r="A448" s="64" t="s">
        <v>1146</v>
      </c>
      <c r="B448" s="65" t="s">
        <v>1147</v>
      </c>
      <c r="C448" s="65" t="s">
        <v>23</v>
      </c>
      <c r="D448" s="72" t="s">
        <v>1148</v>
      </c>
      <c r="E448" s="65" t="s">
        <v>48</v>
      </c>
      <c r="F448" s="65">
        <v>30</v>
      </c>
      <c r="G448" s="89"/>
      <c r="H448" s="89"/>
      <c r="I448" s="89"/>
      <c r="J448" s="68"/>
      <c r="K448" s="89"/>
      <c r="L448" s="90"/>
      <c r="M448" s="20"/>
      <c r="N448" s="90"/>
      <c r="O448" s="90"/>
      <c r="P448" s="76"/>
      <c r="Q448" s="90"/>
      <c r="R448" s="89"/>
      <c r="S448" s="95"/>
    </row>
    <row r="449" spans="1:19" ht="51">
      <c r="A449" s="64" t="s">
        <v>1149</v>
      </c>
      <c r="B449" s="65" t="s">
        <v>1150</v>
      </c>
      <c r="C449" s="65" t="s">
        <v>23</v>
      </c>
      <c r="D449" s="72" t="s">
        <v>1151</v>
      </c>
      <c r="E449" s="65" t="s">
        <v>48</v>
      </c>
      <c r="F449" s="65">
        <v>8</v>
      </c>
      <c r="G449" s="89"/>
      <c r="H449" s="89"/>
      <c r="I449" s="89"/>
      <c r="J449" s="68"/>
      <c r="K449" s="89"/>
      <c r="L449" s="90"/>
      <c r="M449" s="20"/>
      <c r="N449" s="90"/>
      <c r="O449" s="90"/>
      <c r="P449" s="76"/>
      <c r="Q449" s="90"/>
      <c r="R449" s="89"/>
      <c r="S449" s="95"/>
    </row>
    <row r="450" spans="1:19" ht="25.5">
      <c r="A450" s="64" t="s">
        <v>1152</v>
      </c>
      <c r="B450" s="65" t="s">
        <v>1153</v>
      </c>
      <c r="C450" s="65" t="s">
        <v>200</v>
      </c>
      <c r="D450" s="72" t="s">
        <v>1154</v>
      </c>
      <c r="E450" s="65" t="s">
        <v>253</v>
      </c>
      <c r="F450" s="65">
        <v>800</v>
      </c>
      <c r="G450" s="89"/>
      <c r="H450" s="89"/>
      <c r="I450" s="89"/>
      <c r="J450" s="68"/>
      <c r="K450" s="89"/>
      <c r="L450" s="90"/>
      <c r="M450" s="20"/>
      <c r="N450" s="90"/>
      <c r="O450" s="90"/>
      <c r="P450" s="76"/>
      <c r="Q450" s="90"/>
      <c r="R450" s="89"/>
      <c r="S450" s="95"/>
    </row>
    <row r="451" spans="1:19" ht="38.25">
      <c r="A451" s="64" t="s">
        <v>1155</v>
      </c>
      <c r="B451" s="65" t="s">
        <v>1156</v>
      </c>
      <c r="C451" s="65" t="s">
        <v>23</v>
      </c>
      <c r="D451" s="72" t="s">
        <v>1157</v>
      </c>
      <c r="E451" s="65" t="s">
        <v>48</v>
      </c>
      <c r="F451" s="65">
        <v>25</v>
      </c>
      <c r="G451" s="89"/>
      <c r="H451" s="89"/>
      <c r="I451" s="89"/>
      <c r="J451" s="68"/>
      <c r="K451" s="89"/>
      <c r="L451" s="90"/>
      <c r="M451" s="20"/>
      <c r="N451" s="90"/>
      <c r="O451" s="90"/>
      <c r="P451" s="76"/>
      <c r="Q451" s="90"/>
      <c r="R451" s="89"/>
      <c r="S451" s="95"/>
    </row>
    <row r="452" spans="1:19" ht="15">
      <c r="A452" s="64" t="s">
        <v>1158</v>
      </c>
      <c r="B452" s="65" t="s">
        <v>1041</v>
      </c>
      <c r="C452" s="65" t="s">
        <v>23</v>
      </c>
      <c r="D452" s="72" t="s">
        <v>1042</v>
      </c>
      <c r="E452" s="65" t="s">
        <v>48</v>
      </c>
      <c r="F452" s="65">
        <v>35</v>
      </c>
      <c r="G452" s="89"/>
      <c r="H452" s="89"/>
      <c r="I452" s="89"/>
      <c r="J452" s="68"/>
      <c r="K452" s="89"/>
      <c r="L452" s="90"/>
      <c r="M452" s="20"/>
      <c r="N452" s="90"/>
      <c r="O452" s="90"/>
      <c r="P452" s="76"/>
      <c r="Q452" s="90"/>
      <c r="R452" s="89"/>
      <c r="S452" s="95"/>
    </row>
    <row r="453" spans="1:19" ht="15">
      <c r="A453" s="64" t="s">
        <v>1159</v>
      </c>
      <c r="B453" s="65" t="s">
        <v>1044</v>
      </c>
      <c r="C453" s="65" t="s">
        <v>23</v>
      </c>
      <c r="D453" s="72" t="s">
        <v>1045</v>
      </c>
      <c r="E453" s="65" t="s">
        <v>48</v>
      </c>
      <c r="F453" s="65">
        <v>25</v>
      </c>
      <c r="G453" s="89"/>
      <c r="H453" s="89"/>
      <c r="I453" s="89"/>
      <c r="J453" s="68"/>
      <c r="K453" s="89"/>
      <c r="L453" s="90"/>
      <c r="M453" s="20"/>
      <c r="N453" s="90"/>
      <c r="O453" s="90"/>
      <c r="P453" s="76"/>
      <c r="Q453" s="90"/>
      <c r="R453" s="89"/>
      <c r="S453" s="95"/>
    </row>
    <row r="454" spans="1:19" ht="15">
      <c r="A454" s="64" t="s">
        <v>1160</v>
      </c>
      <c r="B454" s="65" t="s">
        <v>1050</v>
      </c>
      <c r="C454" s="65" t="s">
        <v>23</v>
      </c>
      <c r="D454" s="72" t="s">
        <v>1051</v>
      </c>
      <c r="E454" s="65" t="s">
        <v>48</v>
      </c>
      <c r="F454" s="65">
        <v>2</v>
      </c>
      <c r="G454" s="89"/>
      <c r="H454" s="89"/>
      <c r="I454" s="89"/>
      <c r="J454" s="68"/>
      <c r="K454" s="89"/>
      <c r="L454" s="90"/>
      <c r="M454" s="20"/>
      <c r="N454" s="90"/>
      <c r="O454" s="90"/>
      <c r="P454" s="76"/>
      <c r="Q454" s="90"/>
      <c r="R454" s="89"/>
      <c r="S454" s="95"/>
    </row>
    <row r="455" spans="1:19" ht="25.5">
      <c r="A455" s="60" t="s">
        <v>1161</v>
      </c>
      <c r="B455" s="21"/>
      <c r="C455" s="21"/>
      <c r="D455" s="61" t="s">
        <v>1162</v>
      </c>
      <c r="E455" s="21"/>
      <c r="F455" s="21"/>
      <c r="G455" s="89"/>
      <c r="H455" s="89"/>
      <c r="I455" s="89"/>
      <c r="J455" s="91"/>
      <c r="K455" s="91"/>
      <c r="L455" s="92"/>
      <c r="M455" s="12"/>
      <c r="N455" s="92"/>
      <c r="O455" s="92"/>
      <c r="P455" s="93"/>
      <c r="Q455" s="92"/>
      <c r="R455" s="91"/>
      <c r="S455" s="94"/>
    </row>
    <row r="456" spans="1:19" ht="25.5">
      <c r="A456" s="64" t="s">
        <v>1163</v>
      </c>
      <c r="B456" s="65" t="s">
        <v>1164</v>
      </c>
      <c r="C456" s="65" t="s">
        <v>23</v>
      </c>
      <c r="D456" s="72" t="s">
        <v>1165</v>
      </c>
      <c r="E456" s="65" t="s">
        <v>107</v>
      </c>
      <c r="F456" s="65">
        <v>368</v>
      </c>
      <c r="G456" s="89"/>
      <c r="H456" s="89"/>
      <c r="I456" s="89"/>
      <c r="J456" s="68"/>
      <c r="K456" s="89"/>
      <c r="L456" s="90"/>
      <c r="M456" s="20"/>
      <c r="N456" s="90"/>
      <c r="O456" s="90"/>
      <c r="P456" s="76"/>
      <c r="Q456" s="90"/>
      <c r="R456" s="89"/>
      <c r="S456" s="95"/>
    </row>
    <row r="457" spans="1:19" ht="25.5">
      <c r="A457" s="64" t="s">
        <v>1166</v>
      </c>
      <c r="B457" s="65" t="s">
        <v>1167</v>
      </c>
      <c r="C457" s="65" t="s">
        <v>23</v>
      </c>
      <c r="D457" s="72" t="s">
        <v>1168</v>
      </c>
      <c r="E457" s="65" t="s">
        <v>107</v>
      </c>
      <c r="F457" s="65">
        <v>791</v>
      </c>
      <c r="G457" s="89"/>
      <c r="H457" s="89"/>
      <c r="I457" s="89"/>
      <c r="J457" s="68"/>
      <c r="K457" s="89"/>
      <c r="L457" s="90"/>
      <c r="M457" s="20"/>
      <c r="N457" s="90"/>
      <c r="O457" s="90"/>
      <c r="P457" s="76"/>
      <c r="Q457" s="90"/>
      <c r="R457" s="89"/>
      <c r="S457" s="95"/>
    </row>
    <row r="458" spans="1:19" ht="25.5">
      <c r="A458" s="64" t="s">
        <v>1169</v>
      </c>
      <c r="B458" s="65" t="s">
        <v>1170</v>
      </c>
      <c r="C458" s="65" t="s">
        <v>23</v>
      </c>
      <c r="D458" s="72" t="s">
        <v>1171</v>
      </c>
      <c r="E458" s="65" t="s">
        <v>107</v>
      </c>
      <c r="F458" s="65">
        <v>219</v>
      </c>
      <c r="G458" s="89"/>
      <c r="H458" s="89"/>
      <c r="I458" s="89"/>
      <c r="J458" s="68"/>
      <c r="K458" s="89"/>
      <c r="L458" s="90"/>
      <c r="M458" s="20"/>
      <c r="N458" s="90"/>
      <c r="O458" s="90"/>
      <c r="P458" s="76"/>
      <c r="Q458" s="90"/>
      <c r="R458" s="89"/>
      <c r="S458" s="95"/>
    </row>
    <row r="459" spans="1:19" ht="25.5">
      <c r="A459" s="64" t="s">
        <v>1172</v>
      </c>
      <c r="B459" s="65" t="s">
        <v>1173</v>
      </c>
      <c r="C459" s="65" t="s">
        <v>23</v>
      </c>
      <c r="D459" s="72" t="s">
        <v>1174</v>
      </c>
      <c r="E459" s="65" t="s">
        <v>107</v>
      </c>
      <c r="F459" s="65">
        <v>318</v>
      </c>
      <c r="G459" s="89"/>
      <c r="H459" s="89"/>
      <c r="I459" s="89"/>
      <c r="J459" s="68"/>
      <c r="K459" s="89"/>
      <c r="L459" s="90"/>
      <c r="M459" s="20"/>
      <c r="N459" s="90"/>
      <c r="O459" s="90"/>
      <c r="P459" s="76"/>
      <c r="Q459" s="90"/>
      <c r="R459" s="89"/>
      <c r="S459" s="95"/>
    </row>
    <row r="460" spans="1:19" ht="25.5">
      <c r="A460" s="64" t="s">
        <v>1175</v>
      </c>
      <c r="B460" s="65" t="s">
        <v>1176</v>
      </c>
      <c r="C460" s="65" t="s">
        <v>23</v>
      </c>
      <c r="D460" s="72" t="s">
        <v>1177</v>
      </c>
      <c r="E460" s="65" t="s">
        <v>107</v>
      </c>
      <c r="F460" s="65">
        <v>136</v>
      </c>
      <c r="G460" s="89"/>
      <c r="H460" s="89"/>
      <c r="I460" s="89"/>
      <c r="J460" s="68"/>
      <c r="K460" s="89"/>
      <c r="L460" s="90"/>
      <c r="M460" s="20"/>
      <c r="N460" s="90"/>
      <c r="O460" s="90"/>
      <c r="P460" s="76"/>
      <c r="Q460" s="90"/>
      <c r="R460" s="89"/>
      <c r="S460" s="95"/>
    </row>
    <row r="461" spans="1:19" ht="25.5">
      <c r="A461" s="64" t="s">
        <v>1178</v>
      </c>
      <c r="B461" s="65" t="s">
        <v>1179</v>
      </c>
      <c r="C461" s="65" t="s">
        <v>23</v>
      </c>
      <c r="D461" s="72" t="s">
        <v>1180</v>
      </c>
      <c r="E461" s="65" t="s">
        <v>107</v>
      </c>
      <c r="F461" s="65">
        <v>456</v>
      </c>
      <c r="G461" s="89"/>
      <c r="H461" s="89"/>
      <c r="I461" s="89"/>
      <c r="J461" s="68"/>
      <c r="K461" s="89"/>
      <c r="L461" s="90"/>
      <c r="M461" s="20"/>
      <c r="N461" s="90"/>
      <c r="O461" s="90"/>
      <c r="P461" s="76"/>
      <c r="Q461" s="90"/>
      <c r="R461" s="89"/>
      <c r="S461" s="95"/>
    </row>
    <row r="462" spans="1:19" ht="25.5">
      <c r="A462" s="64" t="s">
        <v>1181</v>
      </c>
      <c r="B462" s="65" t="s">
        <v>1182</v>
      </c>
      <c r="C462" s="65" t="s">
        <v>23</v>
      </c>
      <c r="D462" s="72" t="s">
        <v>1183</v>
      </c>
      <c r="E462" s="65" t="s">
        <v>107</v>
      </c>
      <c r="F462" s="65">
        <v>79</v>
      </c>
      <c r="G462" s="89"/>
      <c r="H462" s="89"/>
      <c r="I462" s="89"/>
      <c r="J462" s="68"/>
      <c r="K462" s="89"/>
      <c r="L462" s="90"/>
      <c r="M462" s="20"/>
      <c r="N462" s="90"/>
      <c r="O462" s="90"/>
      <c r="P462" s="76"/>
      <c r="Q462" s="90"/>
      <c r="R462" s="89"/>
      <c r="S462" s="95"/>
    </row>
    <row r="463" spans="1:19" ht="25.5">
      <c r="A463" s="64" t="s">
        <v>1184</v>
      </c>
      <c r="B463" s="65" t="s">
        <v>1185</v>
      </c>
      <c r="C463" s="65" t="s">
        <v>6</v>
      </c>
      <c r="D463" s="72" t="s">
        <v>1186</v>
      </c>
      <c r="E463" s="65" t="s">
        <v>193</v>
      </c>
      <c r="F463" s="65">
        <v>23</v>
      </c>
      <c r="G463" s="89"/>
      <c r="H463" s="89"/>
      <c r="I463" s="89"/>
      <c r="J463" s="68"/>
      <c r="K463" s="89"/>
      <c r="L463" s="90"/>
      <c r="M463" s="20"/>
      <c r="N463" s="90"/>
      <c r="O463" s="90"/>
      <c r="P463" s="76"/>
      <c r="Q463" s="90"/>
      <c r="R463" s="89"/>
      <c r="S463" s="95"/>
    </row>
    <row r="464" spans="1:19" ht="25.5">
      <c r="A464" s="64" t="s">
        <v>1187</v>
      </c>
      <c r="B464" s="65" t="s">
        <v>1188</v>
      </c>
      <c r="C464" s="65" t="s">
        <v>23</v>
      </c>
      <c r="D464" s="72" t="s">
        <v>1189</v>
      </c>
      <c r="E464" s="65" t="s">
        <v>107</v>
      </c>
      <c r="F464" s="65">
        <v>68</v>
      </c>
      <c r="G464" s="89"/>
      <c r="H464" s="89"/>
      <c r="I464" s="89"/>
      <c r="J464" s="68"/>
      <c r="K464" s="89"/>
      <c r="L464" s="90"/>
      <c r="M464" s="20"/>
      <c r="N464" s="90"/>
      <c r="O464" s="90"/>
      <c r="P464" s="76"/>
      <c r="Q464" s="90"/>
      <c r="R464" s="89"/>
      <c r="S464" s="95"/>
    </row>
    <row r="465" spans="1:19" ht="63.75">
      <c r="A465" s="64" t="s">
        <v>1190</v>
      </c>
      <c r="B465" s="65" t="s">
        <v>1191</v>
      </c>
      <c r="C465" s="65" t="s">
        <v>23</v>
      </c>
      <c r="D465" s="72" t="s">
        <v>1192</v>
      </c>
      <c r="E465" s="65" t="s">
        <v>107</v>
      </c>
      <c r="F465" s="65">
        <v>2458</v>
      </c>
      <c r="G465" s="89"/>
      <c r="H465" s="89"/>
      <c r="I465" s="89"/>
      <c r="J465" s="68"/>
      <c r="K465" s="89"/>
      <c r="L465" s="90"/>
      <c r="M465" s="20"/>
      <c r="N465" s="90"/>
      <c r="O465" s="90"/>
      <c r="P465" s="76"/>
      <c r="Q465" s="90"/>
      <c r="R465" s="89"/>
      <c r="S465" s="95"/>
    </row>
    <row r="466" spans="1:19">
      <c r="A466" s="60" t="s">
        <v>1193</v>
      </c>
      <c r="B466" s="21"/>
      <c r="C466" s="21"/>
      <c r="D466" s="61" t="s">
        <v>1194</v>
      </c>
      <c r="E466" s="21"/>
      <c r="F466" s="21"/>
      <c r="G466" s="89"/>
      <c r="H466" s="89"/>
      <c r="I466" s="89"/>
      <c r="J466" s="91"/>
      <c r="K466" s="91"/>
      <c r="L466" s="92"/>
      <c r="M466" s="12"/>
      <c r="N466" s="92"/>
      <c r="O466" s="92"/>
      <c r="P466" s="93"/>
      <c r="Q466" s="92"/>
      <c r="R466" s="91"/>
      <c r="S466" s="94"/>
    </row>
    <row r="467" spans="1:19" ht="25.5">
      <c r="A467" s="64" t="s">
        <v>1195</v>
      </c>
      <c r="B467" s="65" t="s">
        <v>1196</v>
      </c>
      <c r="C467" s="65" t="s">
        <v>23</v>
      </c>
      <c r="D467" s="72" t="s">
        <v>1197</v>
      </c>
      <c r="E467" s="65" t="s">
        <v>107</v>
      </c>
      <c r="F467" s="65">
        <v>36</v>
      </c>
      <c r="G467" s="89"/>
      <c r="H467" s="89"/>
      <c r="I467" s="89"/>
      <c r="J467" s="68"/>
      <c r="K467" s="89"/>
      <c r="L467" s="90"/>
      <c r="M467" s="20"/>
      <c r="N467" s="90"/>
      <c r="O467" s="90"/>
      <c r="P467" s="76"/>
      <c r="Q467" s="90"/>
      <c r="R467" s="89"/>
      <c r="S467" s="95"/>
    </row>
    <row r="468" spans="1:19" ht="25.5">
      <c r="A468" s="64" t="s">
        <v>1198</v>
      </c>
      <c r="B468" s="65" t="s">
        <v>1199</v>
      </c>
      <c r="C468" s="65" t="s">
        <v>23</v>
      </c>
      <c r="D468" s="72" t="s">
        <v>1200</v>
      </c>
      <c r="E468" s="65" t="s">
        <v>107</v>
      </c>
      <c r="F468" s="65">
        <v>2.5</v>
      </c>
      <c r="G468" s="89"/>
      <c r="H468" s="89"/>
      <c r="I468" s="89"/>
      <c r="J468" s="68"/>
      <c r="K468" s="89"/>
      <c r="L468" s="90"/>
      <c r="M468" s="20"/>
      <c r="N468" s="90"/>
      <c r="O468" s="90"/>
      <c r="P468" s="76"/>
      <c r="Q468" s="90"/>
      <c r="R468" s="89"/>
      <c r="S468" s="95"/>
    </row>
    <row r="469" spans="1:19" ht="51">
      <c r="A469" s="64" t="s">
        <v>1201</v>
      </c>
      <c r="B469" s="65" t="s">
        <v>1202</v>
      </c>
      <c r="C469" s="65" t="s">
        <v>23</v>
      </c>
      <c r="D469" s="72" t="s">
        <v>1203</v>
      </c>
      <c r="E469" s="65" t="s">
        <v>48</v>
      </c>
      <c r="F469" s="65">
        <v>1</v>
      </c>
      <c r="G469" s="89"/>
      <c r="H469" s="89"/>
      <c r="I469" s="89"/>
      <c r="J469" s="68"/>
      <c r="K469" s="89"/>
      <c r="L469" s="90"/>
      <c r="M469" s="20"/>
      <c r="N469" s="90"/>
      <c r="O469" s="90"/>
      <c r="P469" s="76"/>
      <c r="Q469" s="90"/>
      <c r="R469" s="89"/>
      <c r="S469" s="95"/>
    </row>
    <row r="470" spans="1:19" ht="38.25">
      <c r="A470" s="64" t="s">
        <v>1204</v>
      </c>
      <c r="B470" s="65" t="s">
        <v>1205</v>
      </c>
      <c r="C470" s="65" t="s">
        <v>133</v>
      </c>
      <c r="D470" s="72" t="s">
        <v>1206</v>
      </c>
      <c r="E470" s="65" t="s">
        <v>253</v>
      </c>
      <c r="F470" s="65">
        <v>1</v>
      </c>
      <c r="G470" s="89"/>
      <c r="H470" s="89"/>
      <c r="I470" s="89"/>
      <c r="J470" s="68"/>
      <c r="K470" s="89"/>
      <c r="L470" s="90"/>
      <c r="M470" s="20"/>
      <c r="N470" s="90"/>
      <c r="O470" s="90"/>
      <c r="P470" s="76"/>
      <c r="Q470" s="90"/>
      <c r="R470" s="89"/>
      <c r="S470" s="95"/>
    </row>
    <row r="471" spans="1:19" ht="51">
      <c r="A471" s="64" t="s">
        <v>1207</v>
      </c>
      <c r="B471" s="65" t="s">
        <v>829</v>
      </c>
      <c r="C471" s="65" t="s">
        <v>23</v>
      </c>
      <c r="D471" s="72" t="s">
        <v>830</v>
      </c>
      <c r="E471" s="65" t="s">
        <v>107</v>
      </c>
      <c r="F471" s="65">
        <v>65</v>
      </c>
      <c r="G471" s="89"/>
      <c r="H471" s="89"/>
      <c r="I471" s="89"/>
      <c r="J471" s="68"/>
      <c r="K471" s="89"/>
      <c r="L471" s="90"/>
      <c r="M471" s="20"/>
      <c r="N471" s="90"/>
      <c r="O471" s="90"/>
      <c r="P471" s="76"/>
      <c r="Q471" s="90"/>
      <c r="R471" s="89"/>
      <c r="S471" s="95"/>
    </row>
    <row r="472" spans="1:19" ht="38.25">
      <c r="A472" s="64" t="s">
        <v>1208</v>
      </c>
      <c r="B472" s="65" t="s">
        <v>1209</v>
      </c>
      <c r="C472" s="65" t="s">
        <v>23</v>
      </c>
      <c r="D472" s="72" t="s">
        <v>1210</v>
      </c>
      <c r="E472" s="65" t="s">
        <v>48</v>
      </c>
      <c r="F472" s="65">
        <v>1</v>
      </c>
      <c r="G472" s="89"/>
      <c r="H472" s="89"/>
      <c r="I472" s="89"/>
      <c r="J472" s="68"/>
      <c r="K472" s="89"/>
      <c r="L472" s="90"/>
      <c r="M472" s="20"/>
      <c r="N472" s="90"/>
      <c r="O472" s="90"/>
      <c r="P472" s="76"/>
      <c r="Q472" s="90"/>
      <c r="R472" s="89"/>
      <c r="S472" s="95"/>
    </row>
    <row r="473" spans="1:19" ht="51">
      <c r="A473" s="64" t="s">
        <v>1211</v>
      </c>
      <c r="B473" s="65" t="s">
        <v>1212</v>
      </c>
      <c r="C473" s="65" t="s">
        <v>23</v>
      </c>
      <c r="D473" s="72" t="s">
        <v>1213</v>
      </c>
      <c r="E473" s="65" t="s">
        <v>48</v>
      </c>
      <c r="F473" s="65">
        <v>39</v>
      </c>
      <c r="G473" s="89"/>
      <c r="H473" s="89"/>
      <c r="I473" s="89"/>
      <c r="J473" s="68"/>
      <c r="K473" s="89"/>
      <c r="L473" s="90"/>
      <c r="M473" s="20"/>
      <c r="N473" s="90"/>
      <c r="O473" s="90"/>
      <c r="P473" s="76"/>
      <c r="Q473" s="90"/>
      <c r="R473" s="89"/>
      <c r="S473" s="95"/>
    </row>
    <row r="474" spans="1:19" ht="25.5">
      <c r="A474" s="64" t="s">
        <v>1214</v>
      </c>
      <c r="B474" s="65" t="s">
        <v>1215</v>
      </c>
      <c r="C474" s="65" t="s">
        <v>6</v>
      </c>
      <c r="D474" s="72" t="s">
        <v>1216</v>
      </c>
      <c r="E474" s="65" t="s">
        <v>253</v>
      </c>
      <c r="F474" s="65">
        <v>2</v>
      </c>
      <c r="G474" s="89"/>
      <c r="H474" s="89"/>
      <c r="I474" s="89"/>
      <c r="J474" s="68"/>
      <c r="K474" s="89"/>
      <c r="L474" s="90"/>
      <c r="M474" s="20"/>
      <c r="N474" s="90"/>
      <c r="O474" s="90"/>
      <c r="P474" s="76"/>
      <c r="Q474" s="90"/>
      <c r="R474" s="89"/>
      <c r="S474" s="95"/>
    </row>
    <row r="475" spans="1:19" ht="63.75">
      <c r="A475" s="64" t="s">
        <v>1217</v>
      </c>
      <c r="B475" s="65" t="s">
        <v>1218</v>
      </c>
      <c r="C475" s="65" t="s">
        <v>200</v>
      </c>
      <c r="D475" s="72" t="s">
        <v>1219</v>
      </c>
      <c r="E475" s="65" t="s">
        <v>48</v>
      </c>
      <c r="F475" s="65">
        <v>15</v>
      </c>
      <c r="G475" s="89"/>
      <c r="H475" s="89"/>
      <c r="I475" s="89"/>
      <c r="J475" s="68"/>
      <c r="K475" s="89"/>
      <c r="L475" s="90"/>
      <c r="M475" s="20"/>
      <c r="N475" s="90"/>
      <c r="O475" s="90"/>
      <c r="P475" s="76"/>
      <c r="Q475" s="90"/>
      <c r="R475" s="89"/>
      <c r="S475" s="95"/>
    </row>
    <row r="476" spans="1:19" ht="38.25">
      <c r="A476" s="64" t="s">
        <v>1220</v>
      </c>
      <c r="B476" s="65" t="s">
        <v>1221</v>
      </c>
      <c r="C476" s="65" t="s">
        <v>133</v>
      </c>
      <c r="D476" s="72" t="s">
        <v>1222</v>
      </c>
      <c r="E476" s="65" t="s">
        <v>253</v>
      </c>
      <c r="F476" s="65">
        <v>77</v>
      </c>
      <c r="G476" s="89"/>
      <c r="H476" s="89"/>
      <c r="I476" s="89"/>
      <c r="J476" s="68"/>
      <c r="K476" s="89"/>
      <c r="L476" s="90"/>
      <c r="M476" s="20"/>
      <c r="N476" s="90"/>
      <c r="O476" s="90"/>
      <c r="P476" s="76"/>
      <c r="Q476" s="90"/>
      <c r="R476" s="89"/>
      <c r="S476" s="95"/>
    </row>
    <row r="477" spans="1:19" ht="25.5">
      <c r="A477" s="64" t="s">
        <v>1223</v>
      </c>
      <c r="B477" s="65" t="s">
        <v>1224</v>
      </c>
      <c r="C477" s="65" t="s">
        <v>6</v>
      </c>
      <c r="D477" s="72" t="s">
        <v>1225</v>
      </c>
      <c r="E477" s="65" t="s">
        <v>253</v>
      </c>
      <c r="F477" s="65">
        <v>4</v>
      </c>
      <c r="G477" s="89"/>
      <c r="H477" s="89"/>
      <c r="I477" s="89"/>
      <c r="J477" s="68"/>
      <c r="K477" s="89"/>
      <c r="L477" s="90"/>
      <c r="M477" s="20"/>
      <c r="N477" s="90"/>
      <c r="O477" s="90"/>
      <c r="P477" s="76"/>
      <c r="Q477" s="90"/>
      <c r="R477" s="89"/>
      <c r="S477" s="95"/>
    </row>
    <row r="478" spans="1:19" ht="38.25">
      <c r="A478" s="64" t="s">
        <v>1226</v>
      </c>
      <c r="B478" s="65" t="s">
        <v>1227</v>
      </c>
      <c r="C478" s="65" t="s">
        <v>23</v>
      </c>
      <c r="D478" s="72" t="s">
        <v>1228</v>
      </c>
      <c r="E478" s="65" t="s">
        <v>48</v>
      </c>
      <c r="F478" s="65">
        <v>1</v>
      </c>
      <c r="G478" s="89"/>
      <c r="H478" s="89"/>
      <c r="I478" s="89"/>
      <c r="J478" s="68"/>
      <c r="K478" s="89"/>
      <c r="L478" s="90"/>
      <c r="M478" s="20"/>
      <c r="N478" s="90"/>
      <c r="O478" s="90"/>
      <c r="P478" s="76"/>
      <c r="Q478" s="90"/>
      <c r="R478" s="89"/>
      <c r="S478" s="95"/>
    </row>
    <row r="479" spans="1:19" ht="38.25">
      <c r="A479" s="64" t="s">
        <v>1229</v>
      </c>
      <c r="B479" s="65" t="s">
        <v>1230</v>
      </c>
      <c r="C479" s="65" t="s">
        <v>23</v>
      </c>
      <c r="D479" s="72" t="s">
        <v>1231</v>
      </c>
      <c r="E479" s="65" t="s">
        <v>48</v>
      </c>
      <c r="F479" s="65">
        <v>80</v>
      </c>
      <c r="G479" s="89"/>
      <c r="H479" s="89"/>
      <c r="I479" s="89"/>
      <c r="J479" s="68"/>
      <c r="K479" s="89"/>
      <c r="L479" s="90"/>
      <c r="M479" s="20"/>
      <c r="N479" s="90"/>
      <c r="O479" s="90"/>
      <c r="P479" s="76"/>
      <c r="Q479" s="90"/>
      <c r="R479" s="89"/>
      <c r="S479" s="95"/>
    </row>
    <row r="480" spans="1:19" ht="25.5">
      <c r="A480" s="64" t="s">
        <v>1232</v>
      </c>
      <c r="B480" s="65" t="s">
        <v>1233</v>
      </c>
      <c r="C480" s="65" t="s">
        <v>23</v>
      </c>
      <c r="D480" s="72" t="s">
        <v>1234</v>
      </c>
      <c r="E480" s="65" t="s">
        <v>48</v>
      </c>
      <c r="F480" s="65">
        <v>1</v>
      </c>
      <c r="G480" s="89"/>
      <c r="H480" s="89"/>
      <c r="I480" s="89"/>
      <c r="J480" s="68"/>
      <c r="K480" s="89"/>
      <c r="L480" s="90"/>
      <c r="M480" s="20"/>
      <c r="N480" s="90"/>
      <c r="O480" s="90"/>
      <c r="P480" s="76"/>
      <c r="Q480" s="90"/>
      <c r="R480" s="89"/>
      <c r="S480" s="95"/>
    </row>
    <row r="481" spans="1:19" ht="15">
      <c r="A481" s="64" t="s">
        <v>1235</v>
      </c>
      <c r="B481" s="65" t="s">
        <v>574</v>
      </c>
      <c r="C481" s="65" t="s">
        <v>23</v>
      </c>
      <c r="D481" s="72" t="s">
        <v>575</v>
      </c>
      <c r="E481" s="65" t="s">
        <v>48</v>
      </c>
      <c r="F481" s="65">
        <v>1</v>
      </c>
      <c r="G481" s="89"/>
      <c r="H481" s="89"/>
      <c r="I481" s="89"/>
      <c r="J481" s="68"/>
      <c r="K481" s="89"/>
      <c r="L481" s="90"/>
      <c r="M481" s="20"/>
      <c r="N481" s="90"/>
      <c r="O481" s="90"/>
      <c r="P481" s="76"/>
      <c r="Q481" s="90"/>
      <c r="R481" s="89"/>
      <c r="S481" s="95"/>
    </row>
    <row r="482" spans="1:19" ht="15">
      <c r="A482" s="64" t="s">
        <v>1236</v>
      </c>
      <c r="B482" s="65" t="s">
        <v>1237</v>
      </c>
      <c r="C482" s="65" t="s">
        <v>23</v>
      </c>
      <c r="D482" s="72" t="s">
        <v>1238</v>
      </c>
      <c r="E482" s="65" t="s">
        <v>48</v>
      </c>
      <c r="F482" s="65">
        <v>1</v>
      </c>
      <c r="G482" s="89"/>
      <c r="H482" s="89"/>
      <c r="I482" s="89"/>
      <c r="J482" s="68"/>
      <c r="K482" s="89"/>
      <c r="L482" s="90"/>
      <c r="M482" s="20"/>
      <c r="N482" s="90"/>
      <c r="O482" s="90"/>
      <c r="P482" s="76"/>
      <c r="Q482" s="90"/>
      <c r="R482" s="89"/>
      <c r="S482" s="95"/>
    </row>
    <row r="483" spans="1:19" ht="51">
      <c r="A483" s="64" t="s">
        <v>1239</v>
      </c>
      <c r="B483" s="65" t="s">
        <v>1011</v>
      </c>
      <c r="C483" s="65" t="s">
        <v>23</v>
      </c>
      <c r="D483" s="72" t="s">
        <v>1012</v>
      </c>
      <c r="E483" s="65" t="s">
        <v>48</v>
      </c>
      <c r="F483" s="65">
        <v>104</v>
      </c>
      <c r="G483" s="89"/>
      <c r="H483" s="89"/>
      <c r="I483" s="89"/>
      <c r="J483" s="68"/>
      <c r="K483" s="89"/>
      <c r="L483" s="90"/>
      <c r="M483" s="20"/>
      <c r="N483" s="90"/>
      <c r="O483" s="90"/>
      <c r="P483" s="76"/>
      <c r="Q483" s="90"/>
      <c r="R483" s="89"/>
      <c r="S483" s="95"/>
    </row>
    <row r="484" spans="1:19" ht="25.5">
      <c r="A484" s="64" t="s">
        <v>1240</v>
      </c>
      <c r="B484" s="65" t="s">
        <v>1241</v>
      </c>
      <c r="C484" s="65" t="s">
        <v>23</v>
      </c>
      <c r="D484" s="72" t="s">
        <v>1242</v>
      </c>
      <c r="E484" s="65" t="s">
        <v>48</v>
      </c>
      <c r="F484" s="65">
        <v>1</v>
      </c>
      <c r="G484" s="89"/>
      <c r="H484" s="89"/>
      <c r="I484" s="89"/>
      <c r="J484" s="68"/>
      <c r="K484" s="89"/>
      <c r="L484" s="90"/>
      <c r="M484" s="20"/>
      <c r="N484" s="90"/>
      <c r="O484" s="90"/>
      <c r="P484" s="76"/>
      <c r="Q484" s="90"/>
      <c r="R484" s="89"/>
      <c r="S484" s="95"/>
    </row>
    <row r="485" spans="1:19" ht="25.5">
      <c r="A485" s="64" t="s">
        <v>1243</v>
      </c>
      <c r="B485" s="65" t="s">
        <v>1244</v>
      </c>
      <c r="C485" s="65" t="s">
        <v>23</v>
      </c>
      <c r="D485" s="72" t="s">
        <v>1245</v>
      </c>
      <c r="E485" s="65" t="s">
        <v>107</v>
      </c>
      <c r="F485" s="65">
        <v>3</v>
      </c>
      <c r="G485" s="89"/>
      <c r="H485" s="89"/>
      <c r="I485" s="89"/>
      <c r="J485" s="68"/>
      <c r="K485" s="89"/>
      <c r="L485" s="90"/>
      <c r="M485" s="20"/>
      <c r="N485" s="90"/>
      <c r="O485" s="90"/>
      <c r="P485" s="76"/>
      <c r="Q485" s="90"/>
      <c r="R485" s="89"/>
      <c r="S485" s="95"/>
    </row>
    <row r="486" spans="1:19" ht="25.5">
      <c r="A486" s="64" t="s">
        <v>1246</v>
      </c>
      <c r="B486" s="65" t="s">
        <v>1247</v>
      </c>
      <c r="C486" s="65" t="s">
        <v>23</v>
      </c>
      <c r="D486" s="72" t="s">
        <v>1248</v>
      </c>
      <c r="E486" s="65" t="s">
        <v>107</v>
      </c>
      <c r="F486" s="65">
        <v>305.07</v>
      </c>
      <c r="G486" s="89"/>
      <c r="H486" s="89"/>
      <c r="I486" s="89"/>
      <c r="J486" s="68"/>
      <c r="K486" s="89"/>
      <c r="L486" s="90"/>
      <c r="M486" s="20"/>
      <c r="N486" s="90"/>
      <c r="O486" s="90"/>
      <c r="P486" s="76"/>
      <c r="Q486" s="90"/>
      <c r="R486" s="89"/>
      <c r="S486" s="95"/>
    </row>
    <row r="487" spans="1:19" ht="51">
      <c r="A487" s="64" t="s">
        <v>1249</v>
      </c>
      <c r="B487" s="65" t="s">
        <v>1250</v>
      </c>
      <c r="C487" s="65" t="s">
        <v>133</v>
      </c>
      <c r="D487" s="72" t="s">
        <v>1251</v>
      </c>
      <c r="E487" s="65" t="s">
        <v>253</v>
      </c>
      <c r="F487" s="65">
        <v>3</v>
      </c>
      <c r="G487" s="89"/>
      <c r="H487" s="89"/>
      <c r="I487" s="89"/>
      <c r="J487" s="68"/>
      <c r="K487" s="89"/>
      <c r="L487" s="90"/>
      <c r="M487" s="20"/>
      <c r="N487" s="90"/>
      <c r="O487" s="90"/>
      <c r="P487" s="76"/>
      <c r="Q487" s="90"/>
      <c r="R487" s="89"/>
      <c r="S487" s="95"/>
    </row>
    <row r="488" spans="1:19" ht="15">
      <c r="A488" s="64" t="s">
        <v>1252</v>
      </c>
      <c r="B488" s="65" t="s">
        <v>1253</v>
      </c>
      <c r="C488" s="65" t="s">
        <v>23</v>
      </c>
      <c r="D488" s="72" t="s">
        <v>1254</v>
      </c>
      <c r="E488" s="65" t="s">
        <v>48</v>
      </c>
      <c r="F488" s="65">
        <v>2</v>
      </c>
      <c r="G488" s="89"/>
      <c r="H488" s="89"/>
      <c r="I488" s="89"/>
      <c r="J488" s="68"/>
      <c r="K488" s="89"/>
      <c r="L488" s="90"/>
      <c r="M488" s="20"/>
      <c r="N488" s="90"/>
      <c r="O488" s="90"/>
      <c r="P488" s="76"/>
      <c r="Q488" s="90"/>
      <c r="R488" s="89"/>
      <c r="S488" s="95"/>
    </row>
    <row r="489" spans="1:19" ht="38.25">
      <c r="A489" s="64" t="s">
        <v>1255</v>
      </c>
      <c r="B489" s="65" t="s">
        <v>859</v>
      </c>
      <c r="C489" s="65" t="s">
        <v>133</v>
      </c>
      <c r="D489" s="72" t="s">
        <v>860</v>
      </c>
      <c r="E489" s="65" t="s">
        <v>253</v>
      </c>
      <c r="F489" s="65">
        <v>22</v>
      </c>
      <c r="G489" s="89"/>
      <c r="H489" s="89"/>
      <c r="I489" s="89"/>
      <c r="J489" s="68"/>
      <c r="K489" s="89"/>
      <c r="L489" s="90"/>
      <c r="M489" s="20"/>
      <c r="N489" s="90"/>
      <c r="O489" s="90"/>
      <c r="P489" s="76"/>
      <c r="Q489" s="90"/>
      <c r="R489" s="89"/>
      <c r="S489" s="95"/>
    </row>
    <row r="490" spans="1:19" ht="38.25">
      <c r="A490" s="64" t="s">
        <v>1256</v>
      </c>
      <c r="B490" s="65" t="s">
        <v>549</v>
      </c>
      <c r="C490" s="65" t="s">
        <v>133</v>
      </c>
      <c r="D490" s="72" t="s">
        <v>550</v>
      </c>
      <c r="E490" s="65" t="s">
        <v>253</v>
      </c>
      <c r="F490" s="65">
        <v>10</v>
      </c>
      <c r="G490" s="89"/>
      <c r="H490" s="89"/>
      <c r="I490" s="89"/>
      <c r="J490" s="68"/>
      <c r="K490" s="89"/>
      <c r="L490" s="90"/>
      <c r="M490" s="20"/>
      <c r="N490" s="90"/>
      <c r="O490" s="90"/>
      <c r="P490" s="76"/>
      <c r="Q490" s="90"/>
      <c r="R490" s="89"/>
      <c r="S490" s="95"/>
    </row>
    <row r="491" spans="1:19">
      <c r="A491" s="60" t="s">
        <v>1257</v>
      </c>
      <c r="B491" s="21"/>
      <c r="C491" s="21"/>
      <c r="D491" s="61" t="s">
        <v>1258</v>
      </c>
      <c r="E491" s="21"/>
      <c r="F491" s="21"/>
      <c r="G491" s="89"/>
      <c r="H491" s="89"/>
      <c r="I491" s="89"/>
      <c r="J491" s="91"/>
      <c r="K491" s="91"/>
      <c r="L491" s="92"/>
      <c r="M491" s="12"/>
      <c r="N491" s="92"/>
      <c r="O491" s="92"/>
      <c r="P491" s="93"/>
      <c r="Q491" s="92"/>
      <c r="R491" s="91"/>
      <c r="S491" s="94"/>
    </row>
    <row r="492" spans="1:19" ht="25.5">
      <c r="A492" s="64" t="s">
        <v>1259</v>
      </c>
      <c r="B492" s="65" t="s">
        <v>658</v>
      </c>
      <c r="C492" s="65" t="s">
        <v>23</v>
      </c>
      <c r="D492" s="72" t="s">
        <v>659</v>
      </c>
      <c r="E492" s="65" t="s">
        <v>107</v>
      </c>
      <c r="F492" s="65">
        <v>65</v>
      </c>
      <c r="G492" s="89"/>
      <c r="H492" s="89"/>
      <c r="I492" s="89"/>
      <c r="J492" s="68"/>
      <c r="K492" s="89"/>
      <c r="L492" s="90"/>
      <c r="M492" s="20"/>
      <c r="N492" s="90"/>
      <c r="O492" s="90"/>
      <c r="P492" s="76"/>
      <c r="Q492" s="90"/>
      <c r="R492" s="89"/>
      <c r="S492" s="95"/>
    </row>
    <row r="493" spans="1:19" ht="15">
      <c r="A493" s="64" t="s">
        <v>1260</v>
      </c>
      <c r="B493" s="65" t="s">
        <v>670</v>
      </c>
      <c r="C493" s="65" t="s">
        <v>23</v>
      </c>
      <c r="D493" s="72" t="s">
        <v>671</v>
      </c>
      <c r="E493" s="65" t="s">
        <v>107</v>
      </c>
      <c r="F493" s="65">
        <v>140</v>
      </c>
      <c r="G493" s="89"/>
      <c r="H493" s="89"/>
      <c r="I493" s="89"/>
      <c r="J493" s="68"/>
      <c r="K493" s="89"/>
      <c r="L493" s="90"/>
      <c r="M493" s="20"/>
      <c r="N493" s="90"/>
      <c r="O493" s="90"/>
      <c r="P493" s="76"/>
      <c r="Q493" s="90"/>
      <c r="R493" s="89"/>
      <c r="S493" s="95"/>
    </row>
    <row r="494" spans="1:19" ht="25.5">
      <c r="A494" s="64" t="s">
        <v>1261</v>
      </c>
      <c r="B494" s="65" t="s">
        <v>1262</v>
      </c>
      <c r="C494" s="65" t="s">
        <v>23</v>
      </c>
      <c r="D494" s="72" t="s">
        <v>1263</v>
      </c>
      <c r="E494" s="65" t="s">
        <v>48</v>
      </c>
      <c r="F494" s="65">
        <v>6</v>
      </c>
      <c r="G494" s="89"/>
      <c r="H494" s="89"/>
      <c r="I494" s="89"/>
      <c r="J494" s="68"/>
      <c r="K494" s="89"/>
      <c r="L494" s="90"/>
      <c r="M494" s="20"/>
      <c r="N494" s="90"/>
      <c r="O494" s="90"/>
      <c r="P494" s="76"/>
      <c r="Q494" s="90"/>
      <c r="R494" s="89"/>
      <c r="S494" s="95"/>
    </row>
    <row r="495" spans="1:19" ht="25.5">
      <c r="A495" s="64" t="s">
        <v>1264</v>
      </c>
      <c r="B495" s="65" t="s">
        <v>1265</v>
      </c>
      <c r="C495" s="65" t="s">
        <v>6</v>
      </c>
      <c r="D495" s="72" t="s">
        <v>1266</v>
      </c>
      <c r="E495" s="65" t="s">
        <v>193</v>
      </c>
      <c r="F495" s="65">
        <v>310</v>
      </c>
      <c r="G495" s="89"/>
      <c r="H495" s="89"/>
      <c r="I495" s="89"/>
      <c r="J495" s="68"/>
      <c r="K495" s="89"/>
      <c r="L495" s="90"/>
      <c r="M495" s="20"/>
      <c r="N495" s="90"/>
      <c r="O495" s="90"/>
      <c r="P495" s="76"/>
      <c r="Q495" s="90"/>
      <c r="R495" s="89"/>
      <c r="S495" s="95"/>
    </row>
    <row r="496" spans="1:19" ht="15">
      <c r="A496" s="64" t="s">
        <v>1267</v>
      </c>
      <c r="B496" s="65" t="s">
        <v>1268</v>
      </c>
      <c r="C496" s="65" t="s">
        <v>6</v>
      </c>
      <c r="D496" s="72" t="s">
        <v>1269</v>
      </c>
      <c r="E496" s="65" t="s">
        <v>253</v>
      </c>
      <c r="F496" s="65">
        <v>15</v>
      </c>
      <c r="G496" s="89"/>
      <c r="H496" s="89"/>
      <c r="I496" s="89"/>
      <c r="J496" s="68">
        <v>10</v>
      </c>
      <c r="K496" s="89"/>
      <c r="L496" s="90"/>
      <c r="M496" s="20"/>
      <c r="N496" s="90"/>
      <c r="O496" s="90"/>
      <c r="P496" s="76" t="s">
        <v>1996</v>
      </c>
      <c r="Q496" s="90">
        <v>15</v>
      </c>
      <c r="R496" s="76" t="s">
        <v>2204</v>
      </c>
      <c r="S496" s="95">
        <f>Q496+(10)</f>
        <v>25</v>
      </c>
    </row>
    <row r="497" spans="1:19" ht="15">
      <c r="A497" s="64" t="s">
        <v>1270</v>
      </c>
      <c r="B497" s="65" t="s">
        <v>742</v>
      </c>
      <c r="C497" s="65" t="s">
        <v>23</v>
      </c>
      <c r="D497" s="72" t="s">
        <v>743</v>
      </c>
      <c r="E497" s="65" t="s">
        <v>48</v>
      </c>
      <c r="F497" s="65">
        <v>7</v>
      </c>
      <c r="G497" s="89"/>
      <c r="H497" s="89"/>
      <c r="I497" s="89"/>
      <c r="J497" s="68"/>
      <c r="K497" s="89"/>
      <c r="L497" s="90"/>
      <c r="M497" s="20"/>
      <c r="N497" s="90"/>
      <c r="O497" s="90"/>
      <c r="P497" s="76"/>
      <c r="Q497" s="90"/>
      <c r="R497" s="89"/>
      <c r="S497" s="95"/>
    </row>
    <row r="498" spans="1:19" ht="15">
      <c r="A498" s="64" t="s">
        <v>1271</v>
      </c>
      <c r="B498" s="65" t="s">
        <v>745</v>
      </c>
      <c r="C498" s="65" t="s">
        <v>23</v>
      </c>
      <c r="D498" s="72" t="s">
        <v>746</v>
      </c>
      <c r="E498" s="65" t="s">
        <v>48</v>
      </c>
      <c r="F498" s="65">
        <v>6</v>
      </c>
      <c r="G498" s="89"/>
      <c r="H498" s="89"/>
      <c r="I498" s="89"/>
      <c r="J498" s="68"/>
      <c r="K498" s="89"/>
      <c r="L498" s="90"/>
      <c r="M498" s="20"/>
      <c r="N498" s="90"/>
      <c r="O498" s="90"/>
      <c r="P498" s="76"/>
      <c r="Q498" s="90"/>
      <c r="R498" s="89"/>
      <c r="S498" s="95"/>
    </row>
    <row r="499" spans="1:19" ht="38.25">
      <c r="A499" s="64" t="s">
        <v>1272</v>
      </c>
      <c r="B499" s="65" t="s">
        <v>1087</v>
      </c>
      <c r="C499" s="65" t="s">
        <v>23</v>
      </c>
      <c r="D499" s="72" t="s">
        <v>1088</v>
      </c>
      <c r="E499" s="65" t="s">
        <v>48</v>
      </c>
      <c r="F499" s="65">
        <v>1</v>
      </c>
      <c r="G499" s="89"/>
      <c r="H499" s="89"/>
      <c r="I499" s="89"/>
      <c r="J499" s="68"/>
      <c r="K499" s="89"/>
      <c r="L499" s="90"/>
      <c r="M499" s="20"/>
      <c r="N499" s="90"/>
      <c r="O499" s="90"/>
      <c r="P499" s="76"/>
      <c r="Q499" s="90"/>
      <c r="R499" s="89"/>
      <c r="S499" s="95"/>
    </row>
    <row r="500" spans="1:19" ht="38.25">
      <c r="A500" s="64" t="s">
        <v>1273</v>
      </c>
      <c r="B500" s="65" t="s">
        <v>748</v>
      </c>
      <c r="C500" s="65" t="s">
        <v>23</v>
      </c>
      <c r="D500" s="72" t="s">
        <v>749</v>
      </c>
      <c r="E500" s="65" t="s">
        <v>48</v>
      </c>
      <c r="F500" s="65">
        <v>18</v>
      </c>
      <c r="G500" s="89"/>
      <c r="H500" s="89"/>
      <c r="I500" s="89"/>
      <c r="J500" s="68"/>
      <c r="K500" s="89"/>
      <c r="L500" s="90"/>
      <c r="M500" s="20"/>
      <c r="N500" s="90"/>
      <c r="O500" s="90"/>
      <c r="P500" s="76"/>
      <c r="Q500" s="90"/>
      <c r="R500" s="89"/>
      <c r="S500" s="95"/>
    </row>
    <row r="501" spans="1:19" ht="38.25">
      <c r="A501" s="64" t="s">
        <v>1274</v>
      </c>
      <c r="B501" s="65" t="s">
        <v>1091</v>
      </c>
      <c r="C501" s="65" t="s">
        <v>23</v>
      </c>
      <c r="D501" s="72" t="s">
        <v>1092</v>
      </c>
      <c r="E501" s="65" t="s">
        <v>48</v>
      </c>
      <c r="F501" s="65">
        <v>13</v>
      </c>
      <c r="G501" s="89"/>
      <c r="H501" s="89"/>
      <c r="I501" s="89"/>
      <c r="J501" s="68"/>
      <c r="K501" s="89"/>
      <c r="L501" s="90"/>
      <c r="M501" s="20"/>
      <c r="N501" s="90"/>
      <c r="O501" s="90"/>
      <c r="P501" s="76"/>
      <c r="Q501" s="90"/>
      <c r="R501" s="89"/>
      <c r="S501" s="95"/>
    </row>
    <row r="502" spans="1:19" ht="38.25">
      <c r="A502" s="64" t="s">
        <v>1275</v>
      </c>
      <c r="B502" s="65" t="s">
        <v>751</v>
      </c>
      <c r="C502" s="65" t="s">
        <v>23</v>
      </c>
      <c r="D502" s="72" t="s">
        <v>752</v>
      </c>
      <c r="E502" s="65" t="s">
        <v>48</v>
      </c>
      <c r="F502" s="65">
        <v>11</v>
      </c>
      <c r="G502" s="89"/>
      <c r="H502" s="89"/>
      <c r="I502" s="89"/>
      <c r="J502" s="68"/>
      <c r="K502" s="89"/>
      <c r="L502" s="90"/>
      <c r="M502" s="20"/>
      <c r="N502" s="90"/>
      <c r="O502" s="90"/>
      <c r="P502" s="76"/>
      <c r="Q502" s="90"/>
      <c r="R502" s="89"/>
      <c r="S502" s="95"/>
    </row>
    <row r="503" spans="1:19" ht="25.5">
      <c r="A503" s="64" t="s">
        <v>1276</v>
      </c>
      <c r="B503" s="65" t="s">
        <v>1277</v>
      </c>
      <c r="C503" s="65" t="s">
        <v>23</v>
      </c>
      <c r="D503" s="72" t="s">
        <v>1278</v>
      </c>
      <c r="E503" s="65" t="s">
        <v>48</v>
      </c>
      <c r="F503" s="65">
        <v>1</v>
      </c>
      <c r="G503" s="89"/>
      <c r="H503" s="89"/>
      <c r="I503" s="89"/>
      <c r="J503" s="68"/>
      <c r="K503" s="89"/>
      <c r="L503" s="90"/>
      <c r="M503" s="20"/>
      <c r="N503" s="90"/>
      <c r="O503" s="90"/>
      <c r="P503" s="76"/>
      <c r="Q503" s="90"/>
      <c r="R503" s="89"/>
      <c r="S503" s="95"/>
    </row>
    <row r="504" spans="1:19" ht="25.5">
      <c r="A504" s="64" t="s">
        <v>1279</v>
      </c>
      <c r="B504" s="65" t="s">
        <v>757</v>
      </c>
      <c r="C504" s="65" t="s">
        <v>23</v>
      </c>
      <c r="D504" s="72" t="s">
        <v>758</v>
      </c>
      <c r="E504" s="65" t="s">
        <v>48</v>
      </c>
      <c r="F504" s="65">
        <v>1</v>
      </c>
      <c r="G504" s="89"/>
      <c r="H504" s="89"/>
      <c r="I504" s="89"/>
      <c r="J504" s="68"/>
      <c r="K504" s="89"/>
      <c r="L504" s="90"/>
      <c r="M504" s="20"/>
      <c r="N504" s="90"/>
      <c r="O504" s="90"/>
      <c r="P504" s="76"/>
      <c r="Q504" s="90"/>
      <c r="R504" s="89"/>
      <c r="S504" s="95"/>
    </row>
    <row r="505" spans="1:19" ht="25.5">
      <c r="A505" s="64" t="s">
        <v>1280</v>
      </c>
      <c r="B505" s="65" t="s">
        <v>1281</v>
      </c>
      <c r="C505" s="65" t="s">
        <v>23</v>
      </c>
      <c r="D505" s="72" t="s">
        <v>1282</v>
      </c>
      <c r="E505" s="65" t="s">
        <v>48</v>
      </c>
      <c r="F505" s="65">
        <v>7</v>
      </c>
      <c r="G505" s="89"/>
      <c r="H505" s="89"/>
      <c r="I505" s="89"/>
      <c r="J505" s="68"/>
      <c r="K505" s="89"/>
      <c r="L505" s="90"/>
      <c r="M505" s="20"/>
      <c r="N505" s="90"/>
      <c r="O505" s="90"/>
      <c r="P505" s="76"/>
      <c r="Q505" s="90"/>
      <c r="R505" s="89"/>
      <c r="S505" s="95"/>
    </row>
    <row r="506" spans="1:19" ht="25.5">
      <c r="A506" s="64" t="s">
        <v>1283</v>
      </c>
      <c r="B506" s="65" t="s">
        <v>1096</v>
      </c>
      <c r="C506" s="65" t="s">
        <v>23</v>
      </c>
      <c r="D506" s="72" t="s">
        <v>1097</v>
      </c>
      <c r="E506" s="65" t="s">
        <v>48</v>
      </c>
      <c r="F506" s="65">
        <v>11</v>
      </c>
      <c r="G506" s="89"/>
      <c r="H506" s="89"/>
      <c r="I506" s="89"/>
      <c r="J506" s="68"/>
      <c r="K506" s="89"/>
      <c r="L506" s="90"/>
      <c r="M506" s="20"/>
      <c r="N506" s="90"/>
      <c r="O506" s="90"/>
      <c r="P506" s="76"/>
      <c r="Q506" s="90"/>
      <c r="R506" s="89"/>
      <c r="S506" s="95"/>
    </row>
    <row r="507" spans="1:19" ht="51">
      <c r="A507" s="64" t="s">
        <v>1284</v>
      </c>
      <c r="B507" s="65" t="s">
        <v>1285</v>
      </c>
      <c r="C507" s="65" t="s">
        <v>133</v>
      </c>
      <c r="D507" s="72" t="s">
        <v>1286</v>
      </c>
      <c r="E507" s="65" t="s">
        <v>253</v>
      </c>
      <c r="F507" s="65">
        <v>1</v>
      </c>
      <c r="G507" s="89"/>
      <c r="H507" s="89"/>
      <c r="I507" s="89"/>
      <c r="J507" s="68"/>
      <c r="K507" s="89"/>
      <c r="L507" s="90"/>
      <c r="M507" s="20"/>
      <c r="N507" s="90"/>
      <c r="O507" s="90"/>
      <c r="P507" s="76"/>
      <c r="Q507" s="90"/>
      <c r="R507" s="89"/>
      <c r="S507" s="95"/>
    </row>
    <row r="508" spans="1:19" ht="25.5">
      <c r="A508" s="64" t="s">
        <v>1287</v>
      </c>
      <c r="B508" s="65" t="s">
        <v>1288</v>
      </c>
      <c r="C508" s="65" t="s">
        <v>23</v>
      </c>
      <c r="D508" s="72" t="s">
        <v>1289</v>
      </c>
      <c r="E508" s="65" t="s">
        <v>48</v>
      </c>
      <c r="F508" s="65">
        <v>6</v>
      </c>
      <c r="G508" s="89"/>
      <c r="H508" s="89"/>
      <c r="I508" s="89"/>
      <c r="J508" s="68"/>
      <c r="K508" s="89"/>
      <c r="L508" s="90"/>
      <c r="M508" s="20"/>
      <c r="N508" s="90"/>
      <c r="O508" s="90"/>
      <c r="P508" s="76"/>
      <c r="Q508" s="90"/>
      <c r="R508" s="89"/>
      <c r="S508" s="95"/>
    </row>
    <row r="509" spans="1:19" ht="25.5">
      <c r="A509" s="64" t="s">
        <v>1290</v>
      </c>
      <c r="B509" s="65" t="s">
        <v>1291</v>
      </c>
      <c r="C509" s="65" t="s">
        <v>23</v>
      </c>
      <c r="D509" s="72" t="s">
        <v>1292</v>
      </c>
      <c r="E509" s="65" t="s">
        <v>48</v>
      </c>
      <c r="F509" s="65">
        <v>1</v>
      </c>
      <c r="G509" s="89"/>
      <c r="H509" s="89"/>
      <c r="I509" s="89"/>
      <c r="J509" s="68"/>
      <c r="K509" s="89"/>
      <c r="L509" s="90"/>
      <c r="M509" s="20"/>
      <c r="N509" s="90"/>
      <c r="O509" s="90"/>
      <c r="P509" s="76"/>
      <c r="Q509" s="90"/>
      <c r="R509" s="89"/>
      <c r="S509" s="95"/>
    </row>
    <row r="510" spans="1:19" ht="25.5">
      <c r="A510" s="64" t="s">
        <v>1293</v>
      </c>
      <c r="B510" s="65" t="s">
        <v>1294</v>
      </c>
      <c r="C510" s="65" t="s">
        <v>23</v>
      </c>
      <c r="D510" s="72" t="s">
        <v>1295</v>
      </c>
      <c r="E510" s="65" t="s">
        <v>107</v>
      </c>
      <c r="F510" s="65">
        <v>57</v>
      </c>
      <c r="G510" s="89"/>
      <c r="H510" s="89"/>
      <c r="I510" s="89"/>
      <c r="J510" s="68"/>
      <c r="K510" s="89"/>
      <c r="L510" s="90"/>
      <c r="M510" s="20"/>
      <c r="N510" s="90"/>
      <c r="O510" s="90"/>
      <c r="P510" s="76"/>
      <c r="Q510" s="90"/>
      <c r="R510" s="89"/>
      <c r="S510" s="95"/>
    </row>
    <row r="511" spans="1:19" ht="25.5">
      <c r="A511" s="64" t="s">
        <v>1296</v>
      </c>
      <c r="B511" s="65" t="s">
        <v>1297</v>
      </c>
      <c r="C511" s="65" t="s">
        <v>23</v>
      </c>
      <c r="D511" s="72" t="s">
        <v>1298</v>
      </c>
      <c r="E511" s="65" t="s">
        <v>48</v>
      </c>
      <c r="F511" s="65">
        <v>1</v>
      </c>
      <c r="G511" s="89"/>
      <c r="H511" s="89"/>
      <c r="I511" s="89"/>
      <c r="J511" s="68"/>
      <c r="K511" s="89"/>
      <c r="L511" s="90"/>
      <c r="M511" s="20"/>
      <c r="N511" s="90"/>
      <c r="O511" s="90"/>
      <c r="P511" s="76"/>
      <c r="Q511" s="90"/>
      <c r="R511" s="89"/>
      <c r="S511" s="95"/>
    </row>
    <row r="512" spans="1:19" ht="25.5">
      <c r="A512" s="64" t="s">
        <v>1299</v>
      </c>
      <c r="B512" s="65" t="s">
        <v>1300</v>
      </c>
      <c r="C512" s="65" t="s">
        <v>23</v>
      </c>
      <c r="D512" s="72" t="s">
        <v>1301</v>
      </c>
      <c r="E512" s="65" t="s">
        <v>48</v>
      </c>
      <c r="F512" s="65">
        <v>2</v>
      </c>
      <c r="G512" s="89"/>
      <c r="H512" s="89"/>
      <c r="I512" s="89"/>
      <c r="J512" s="68"/>
      <c r="K512" s="89"/>
      <c r="L512" s="90"/>
      <c r="M512" s="20"/>
      <c r="N512" s="90"/>
      <c r="O512" s="90"/>
      <c r="P512" s="76"/>
      <c r="Q512" s="90"/>
      <c r="R512" s="89"/>
      <c r="S512" s="95"/>
    </row>
    <row r="513" spans="1:19" ht="25.5">
      <c r="A513" s="64" t="s">
        <v>1302</v>
      </c>
      <c r="B513" s="65" t="s">
        <v>1303</v>
      </c>
      <c r="C513" s="65" t="s">
        <v>6</v>
      </c>
      <c r="D513" s="72" t="s">
        <v>1304</v>
      </c>
      <c r="E513" s="65" t="s">
        <v>253</v>
      </c>
      <c r="F513" s="65">
        <v>2</v>
      </c>
      <c r="G513" s="89"/>
      <c r="H513" s="89"/>
      <c r="I513" s="89"/>
      <c r="J513" s="68"/>
      <c r="K513" s="89"/>
      <c r="L513" s="90"/>
      <c r="M513" s="20"/>
      <c r="N513" s="90"/>
      <c r="O513" s="90"/>
      <c r="P513" s="76"/>
      <c r="Q513" s="90"/>
      <c r="R513" s="89"/>
      <c r="S513" s="95"/>
    </row>
    <row r="514" spans="1:19" ht="25.5">
      <c r="A514" s="64" t="s">
        <v>1305</v>
      </c>
      <c r="B514" s="65" t="s">
        <v>1306</v>
      </c>
      <c r="C514" s="65" t="s">
        <v>6</v>
      </c>
      <c r="D514" s="72" t="s">
        <v>1307</v>
      </c>
      <c r="E514" s="65" t="s">
        <v>253</v>
      </c>
      <c r="F514" s="65">
        <v>4</v>
      </c>
      <c r="G514" s="89"/>
      <c r="H514" s="89"/>
      <c r="I514" s="89"/>
      <c r="J514" s="68"/>
      <c r="K514" s="89"/>
      <c r="L514" s="90"/>
      <c r="M514" s="20"/>
      <c r="N514" s="90"/>
      <c r="O514" s="90"/>
      <c r="P514" s="76"/>
      <c r="Q514" s="90"/>
      <c r="R514" s="89"/>
      <c r="S514" s="95"/>
    </row>
    <row r="515" spans="1:19" ht="25.5">
      <c r="A515" s="64" t="s">
        <v>1308</v>
      </c>
      <c r="B515" s="65" t="s">
        <v>778</v>
      </c>
      <c r="C515" s="65" t="s">
        <v>23</v>
      </c>
      <c r="D515" s="72" t="s">
        <v>779</v>
      </c>
      <c r="E515" s="65" t="s">
        <v>48</v>
      </c>
      <c r="F515" s="65">
        <v>10</v>
      </c>
      <c r="G515" s="89"/>
      <c r="H515" s="89"/>
      <c r="I515" s="89"/>
      <c r="J515" s="68"/>
      <c r="K515" s="89"/>
      <c r="L515" s="90"/>
      <c r="M515" s="20"/>
      <c r="N515" s="90"/>
      <c r="O515" s="90"/>
      <c r="P515" s="76"/>
      <c r="Q515" s="90"/>
      <c r="R515" s="89"/>
      <c r="S515" s="95"/>
    </row>
    <row r="516" spans="1:19" ht="25.5">
      <c r="A516" s="64" t="s">
        <v>1309</v>
      </c>
      <c r="B516" s="65" t="s">
        <v>781</v>
      </c>
      <c r="C516" s="65" t="s">
        <v>23</v>
      </c>
      <c r="D516" s="72" t="s">
        <v>782</v>
      </c>
      <c r="E516" s="65" t="s">
        <v>107</v>
      </c>
      <c r="F516" s="65">
        <v>239</v>
      </c>
      <c r="G516" s="89"/>
      <c r="H516" s="89"/>
      <c r="I516" s="89"/>
      <c r="J516" s="68"/>
      <c r="K516" s="89"/>
      <c r="L516" s="90"/>
      <c r="M516" s="20"/>
      <c r="N516" s="90"/>
      <c r="O516" s="90"/>
      <c r="P516" s="76"/>
      <c r="Q516" s="90"/>
      <c r="R516" s="89"/>
      <c r="S516" s="95"/>
    </row>
    <row r="517" spans="1:19" ht="25.5">
      <c r="A517" s="64" t="s">
        <v>1310</v>
      </c>
      <c r="B517" s="65" t="s">
        <v>1311</v>
      </c>
      <c r="C517" s="65" t="s">
        <v>23</v>
      </c>
      <c r="D517" s="72" t="s">
        <v>1312</v>
      </c>
      <c r="E517" s="65" t="s">
        <v>107</v>
      </c>
      <c r="F517" s="65">
        <v>8</v>
      </c>
      <c r="G517" s="89"/>
      <c r="H517" s="89"/>
      <c r="I517" s="89"/>
      <c r="J517" s="68"/>
      <c r="K517" s="89"/>
      <c r="L517" s="90"/>
      <c r="M517" s="20"/>
      <c r="N517" s="90"/>
      <c r="O517" s="90"/>
      <c r="P517" s="76"/>
      <c r="Q517" s="90"/>
      <c r="R517" s="89"/>
      <c r="S517" s="95"/>
    </row>
    <row r="518" spans="1:19" ht="25.5">
      <c r="A518" s="64" t="s">
        <v>1313</v>
      </c>
      <c r="B518" s="65" t="s">
        <v>787</v>
      </c>
      <c r="C518" s="65" t="s">
        <v>23</v>
      </c>
      <c r="D518" s="72" t="s">
        <v>788</v>
      </c>
      <c r="E518" s="65" t="s">
        <v>107</v>
      </c>
      <c r="F518" s="65">
        <v>31</v>
      </c>
      <c r="G518" s="89"/>
      <c r="H518" s="89"/>
      <c r="I518" s="89"/>
      <c r="J518" s="68"/>
      <c r="K518" s="89"/>
      <c r="L518" s="90"/>
      <c r="M518" s="20"/>
      <c r="N518" s="90"/>
      <c r="O518" s="90"/>
      <c r="P518" s="76"/>
      <c r="Q518" s="90"/>
      <c r="R518" s="89"/>
      <c r="S518" s="95"/>
    </row>
    <row r="519" spans="1:19" ht="25.5">
      <c r="A519" s="64" t="s">
        <v>1314</v>
      </c>
      <c r="B519" s="65" t="s">
        <v>793</v>
      </c>
      <c r="C519" s="65" t="s">
        <v>23</v>
      </c>
      <c r="D519" s="72" t="s">
        <v>794</v>
      </c>
      <c r="E519" s="65" t="s">
        <v>107</v>
      </c>
      <c r="F519" s="65">
        <v>20</v>
      </c>
      <c r="G519" s="89"/>
      <c r="H519" s="89"/>
      <c r="I519" s="89"/>
      <c r="J519" s="68"/>
      <c r="K519" s="89"/>
      <c r="L519" s="90"/>
      <c r="M519" s="20"/>
      <c r="N519" s="90"/>
      <c r="O519" s="90"/>
      <c r="P519" s="76"/>
      <c r="Q519" s="90"/>
      <c r="R519" s="89"/>
      <c r="S519" s="95"/>
    </row>
    <row r="520" spans="1:19" ht="25.5">
      <c r="A520" s="64" t="s">
        <v>1315</v>
      </c>
      <c r="B520" s="65" t="s">
        <v>796</v>
      </c>
      <c r="C520" s="65" t="s">
        <v>23</v>
      </c>
      <c r="D520" s="72" t="s">
        <v>797</v>
      </c>
      <c r="E520" s="65" t="s">
        <v>107</v>
      </c>
      <c r="F520" s="65">
        <v>140</v>
      </c>
      <c r="G520" s="89"/>
      <c r="H520" s="89"/>
      <c r="I520" s="89"/>
      <c r="J520" s="68"/>
      <c r="K520" s="89"/>
      <c r="L520" s="90"/>
      <c r="M520" s="20"/>
      <c r="N520" s="90"/>
      <c r="O520" s="90"/>
      <c r="P520" s="76"/>
      <c r="Q520" s="90"/>
      <c r="R520" s="89"/>
      <c r="S520" s="95"/>
    </row>
    <row r="521" spans="1:19" ht="25.5">
      <c r="A521" s="64" t="s">
        <v>1316</v>
      </c>
      <c r="B521" s="65" t="s">
        <v>799</v>
      </c>
      <c r="C521" s="65" t="s">
        <v>23</v>
      </c>
      <c r="D521" s="72" t="s">
        <v>800</v>
      </c>
      <c r="E521" s="65" t="s">
        <v>107</v>
      </c>
      <c r="F521" s="65">
        <v>30</v>
      </c>
      <c r="G521" s="89"/>
      <c r="H521" s="89"/>
      <c r="I521" s="89"/>
      <c r="J521" s="68"/>
      <c r="K521" s="89"/>
      <c r="L521" s="90"/>
      <c r="M521" s="20"/>
      <c r="N521" s="90"/>
      <c r="O521" s="90"/>
      <c r="P521" s="76"/>
      <c r="Q521" s="90"/>
      <c r="R521" s="89"/>
      <c r="S521" s="95"/>
    </row>
    <row r="522" spans="1:19" ht="25.5">
      <c r="A522" s="64" t="s">
        <v>1317</v>
      </c>
      <c r="B522" s="65" t="s">
        <v>802</v>
      </c>
      <c r="C522" s="65" t="s">
        <v>23</v>
      </c>
      <c r="D522" s="72" t="s">
        <v>803</v>
      </c>
      <c r="E522" s="65" t="s">
        <v>107</v>
      </c>
      <c r="F522" s="65">
        <v>85</v>
      </c>
      <c r="G522" s="89"/>
      <c r="H522" s="89"/>
      <c r="I522" s="89"/>
      <c r="J522" s="68"/>
      <c r="K522" s="89"/>
      <c r="L522" s="90"/>
      <c r="M522" s="20"/>
      <c r="N522" s="90"/>
      <c r="O522" s="90"/>
      <c r="P522" s="76"/>
      <c r="Q522" s="90"/>
      <c r="R522" s="89"/>
      <c r="S522" s="95"/>
    </row>
    <row r="523" spans="1:19" ht="25.5">
      <c r="A523" s="64" t="s">
        <v>1318</v>
      </c>
      <c r="B523" s="65" t="s">
        <v>820</v>
      </c>
      <c r="C523" s="65" t="s">
        <v>23</v>
      </c>
      <c r="D523" s="72" t="s">
        <v>821</v>
      </c>
      <c r="E523" s="65" t="s">
        <v>107</v>
      </c>
      <c r="F523" s="65">
        <v>10</v>
      </c>
      <c r="G523" s="89"/>
      <c r="H523" s="89"/>
      <c r="I523" s="89"/>
      <c r="J523" s="68"/>
      <c r="K523" s="89"/>
      <c r="L523" s="90"/>
      <c r="M523" s="20"/>
      <c r="N523" s="90"/>
      <c r="O523" s="90"/>
      <c r="P523" s="76"/>
      <c r="Q523" s="90"/>
      <c r="R523" s="89"/>
      <c r="S523" s="95"/>
    </row>
    <row r="524" spans="1:19" ht="51">
      <c r="A524" s="64" t="s">
        <v>1319</v>
      </c>
      <c r="B524" s="65" t="s">
        <v>829</v>
      </c>
      <c r="C524" s="65" t="s">
        <v>23</v>
      </c>
      <c r="D524" s="72" t="s">
        <v>830</v>
      </c>
      <c r="E524" s="65" t="s">
        <v>107</v>
      </c>
      <c r="F524" s="65">
        <v>2</v>
      </c>
      <c r="G524" s="89"/>
      <c r="H524" s="89"/>
      <c r="I524" s="89"/>
      <c r="J524" s="68"/>
      <c r="K524" s="89"/>
      <c r="L524" s="90"/>
      <c r="M524" s="20"/>
      <c r="N524" s="90"/>
      <c r="O524" s="90"/>
      <c r="P524" s="76"/>
      <c r="Q524" s="90"/>
      <c r="R524" s="89"/>
      <c r="S524" s="95"/>
    </row>
    <row r="525" spans="1:19" ht="15">
      <c r="A525" s="64" t="s">
        <v>1320</v>
      </c>
      <c r="B525" s="65" t="s">
        <v>1321</v>
      </c>
      <c r="C525" s="65" t="s">
        <v>23</v>
      </c>
      <c r="D525" s="72" t="s">
        <v>1322</v>
      </c>
      <c r="E525" s="65" t="s">
        <v>48</v>
      </c>
      <c r="F525" s="65">
        <v>1</v>
      </c>
      <c r="G525" s="89"/>
      <c r="H525" s="89"/>
      <c r="I525" s="89"/>
      <c r="J525" s="68"/>
      <c r="K525" s="89"/>
      <c r="L525" s="90"/>
      <c r="M525" s="20"/>
      <c r="N525" s="90"/>
      <c r="O525" s="90"/>
      <c r="P525" s="76"/>
      <c r="Q525" s="90"/>
      <c r="R525" s="89"/>
      <c r="S525" s="95"/>
    </row>
    <row r="526" spans="1:19" ht="15">
      <c r="A526" s="64" t="s">
        <v>1323</v>
      </c>
      <c r="B526" s="65" t="s">
        <v>1324</v>
      </c>
      <c r="C526" s="65" t="s">
        <v>23</v>
      </c>
      <c r="D526" s="72" t="s">
        <v>1325</v>
      </c>
      <c r="E526" s="65" t="s">
        <v>48</v>
      </c>
      <c r="F526" s="65">
        <v>1</v>
      </c>
      <c r="G526" s="89"/>
      <c r="H526" s="89"/>
      <c r="I526" s="89"/>
      <c r="J526" s="68"/>
      <c r="K526" s="89"/>
      <c r="L526" s="90"/>
      <c r="M526" s="20"/>
      <c r="N526" s="90"/>
      <c r="O526" s="90"/>
      <c r="P526" s="76"/>
      <c r="Q526" s="90"/>
      <c r="R526" s="89"/>
      <c r="S526" s="95"/>
    </row>
    <row r="527" spans="1:19" ht="25.5">
      <c r="A527" s="64" t="s">
        <v>1326</v>
      </c>
      <c r="B527" s="65" t="s">
        <v>856</v>
      </c>
      <c r="C527" s="65" t="s">
        <v>23</v>
      </c>
      <c r="D527" s="72" t="s">
        <v>857</v>
      </c>
      <c r="E527" s="65" t="s">
        <v>48</v>
      </c>
      <c r="F527" s="65">
        <v>14</v>
      </c>
      <c r="G527" s="89"/>
      <c r="H527" s="89"/>
      <c r="I527" s="89"/>
      <c r="J527" s="68"/>
      <c r="K527" s="89"/>
      <c r="L527" s="90"/>
      <c r="M527" s="20"/>
      <c r="N527" s="90"/>
      <c r="O527" s="90"/>
      <c r="P527" s="76"/>
      <c r="Q527" s="90"/>
      <c r="R527" s="89"/>
      <c r="S527" s="95"/>
    </row>
    <row r="528" spans="1:19" ht="25.5">
      <c r="A528" s="64" t="s">
        <v>1327</v>
      </c>
      <c r="B528" s="65" t="s">
        <v>1102</v>
      </c>
      <c r="C528" s="65" t="s">
        <v>23</v>
      </c>
      <c r="D528" s="72" t="s">
        <v>1103</v>
      </c>
      <c r="E528" s="65" t="s">
        <v>107</v>
      </c>
      <c r="F528" s="65">
        <v>5080</v>
      </c>
      <c r="G528" s="89"/>
      <c r="H528" s="89"/>
      <c r="I528" s="89"/>
      <c r="J528" s="68"/>
      <c r="K528" s="89"/>
      <c r="L528" s="90"/>
      <c r="M528" s="20"/>
      <c r="N528" s="90"/>
      <c r="O528" s="90"/>
      <c r="P528" s="76"/>
      <c r="Q528" s="90"/>
      <c r="R528" s="89"/>
      <c r="S528" s="95"/>
    </row>
    <row r="529" spans="1:19" ht="25.5">
      <c r="A529" s="64" t="s">
        <v>1328</v>
      </c>
      <c r="B529" s="65" t="s">
        <v>1329</v>
      </c>
      <c r="C529" s="65" t="s">
        <v>23</v>
      </c>
      <c r="D529" s="72" t="s">
        <v>1330</v>
      </c>
      <c r="E529" s="65" t="s">
        <v>48</v>
      </c>
      <c r="F529" s="65">
        <v>6</v>
      </c>
      <c r="G529" s="89"/>
      <c r="H529" s="89"/>
      <c r="I529" s="89"/>
      <c r="J529" s="68"/>
      <c r="K529" s="89"/>
      <c r="L529" s="90"/>
      <c r="M529" s="20"/>
      <c r="N529" s="90"/>
      <c r="O529" s="90"/>
      <c r="P529" s="76"/>
      <c r="Q529" s="90"/>
      <c r="R529" s="89"/>
      <c r="S529" s="95"/>
    </row>
    <row r="530" spans="1:19" ht="25.5">
      <c r="A530" s="64" t="s">
        <v>1331</v>
      </c>
      <c r="B530" s="65" t="s">
        <v>1332</v>
      </c>
      <c r="C530" s="65" t="s">
        <v>23</v>
      </c>
      <c r="D530" s="72" t="s">
        <v>1333</v>
      </c>
      <c r="E530" s="65" t="s">
        <v>48</v>
      </c>
      <c r="F530" s="65">
        <v>1</v>
      </c>
      <c r="G530" s="89"/>
      <c r="H530" s="89"/>
      <c r="I530" s="89"/>
      <c r="J530" s="68"/>
      <c r="K530" s="89"/>
      <c r="L530" s="90"/>
      <c r="M530" s="20"/>
      <c r="N530" s="90"/>
      <c r="O530" s="90"/>
      <c r="P530" s="76"/>
      <c r="Q530" s="90"/>
      <c r="R530" s="89"/>
      <c r="S530" s="95"/>
    </row>
    <row r="531" spans="1:19" ht="25.5">
      <c r="A531" s="64" t="s">
        <v>1334</v>
      </c>
      <c r="B531" s="65" t="s">
        <v>1335</v>
      </c>
      <c r="C531" s="65" t="s">
        <v>23</v>
      </c>
      <c r="D531" s="72" t="s">
        <v>1336</v>
      </c>
      <c r="E531" s="65" t="s">
        <v>48</v>
      </c>
      <c r="F531" s="65">
        <v>36</v>
      </c>
      <c r="G531" s="89"/>
      <c r="H531" s="89"/>
      <c r="I531" s="89"/>
      <c r="J531" s="68"/>
      <c r="K531" s="89"/>
      <c r="L531" s="90"/>
      <c r="M531" s="20"/>
      <c r="N531" s="90"/>
      <c r="O531" s="90"/>
      <c r="P531" s="76"/>
      <c r="Q531" s="90"/>
      <c r="R531" s="89"/>
      <c r="S531" s="95"/>
    </row>
    <row r="532" spans="1:19" ht="25.5">
      <c r="A532" s="64" t="s">
        <v>1337</v>
      </c>
      <c r="B532" s="65" t="s">
        <v>1338</v>
      </c>
      <c r="C532" s="65" t="s">
        <v>23</v>
      </c>
      <c r="D532" s="72" t="s">
        <v>1339</v>
      </c>
      <c r="E532" s="65" t="s">
        <v>48</v>
      </c>
      <c r="F532" s="65">
        <v>12</v>
      </c>
      <c r="G532" s="89"/>
      <c r="H532" s="89"/>
      <c r="I532" s="89"/>
      <c r="J532" s="68"/>
      <c r="K532" s="89"/>
      <c r="L532" s="90"/>
      <c r="M532" s="20"/>
      <c r="N532" s="90"/>
      <c r="O532" s="90"/>
      <c r="P532" s="76"/>
      <c r="Q532" s="90"/>
      <c r="R532" s="89"/>
      <c r="S532" s="95"/>
    </row>
    <row r="533" spans="1:19" ht="25.5">
      <c r="A533" s="64" t="s">
        <v>1340</v>
      </c>
      <c r="B533" s="65" t="s">
        <v>1341</v>
      </c>
      <c r="C533" s="65" t="s">
        <v>23</v>
      </c>
      <c r="D533" s="72" t="s">
        <v>1342</v>
      </c>
      <c r="E533" s="65" t="s">
        <v>48</v>
      </c>
      <c r="F533" s="65">
        <v>12</v>
      </c>
      <c r="G533" s="89"/>
      <c r="H533" s="89"/>
      <c r="I533" s="89"/>
      <c r="J533" s="68"/>
      <c r="K533" s="89"/>
      <c r="L533" s="90"/>
      <c r="M533" s="20"/>
      <c r="N533" s="90"/>
      <c r="O533" s="90"/>
      <c r="P533" s="76"/>
      <c r="Q533" s="90"/>
      <c r="R533" s="89"/>
      <c r="S533" s="95"/>
    </row>
    <row r="534" spans="1:19" ht="25.5">
      <c r="A534" s="64" t="s">
        <v>1343</v>
      </c>
      <c r="B534" s="65" t="s">
        <v>897</v>
      </c>
      <c r="C534" s="65" t="s">
        <v>23</v>
      </c>
      <c r="D534" s="72" t="s">
        <v>898</v>
      </c>
      <c r="E534" s="65" t="s">
        <v>48</v>
      </c>
      <c r="F534" s="65">
        <v>80</v>
      </c>
      <c r="G534" s="89"/>
      <c r="H534" s="89"/>
      <c r="I534" s="89"/>
      <c r="J534" s="68"/>
      <c r="K534" s="89"/>
      <c r="L534" s="90"/>
      <c r="M534" s="20"/>
      <c r="N534" s="90"/>
      <c r="O534" s="90"/>
      <c r="P534" s="76"/>
      <c r="Q534" s="90"/>
      <c r="R534" s="89"/>
      <c r="S534" s="95"/>
    </row>
    <row r="535" spans="1:19" ht="25.5">
      <c r="A535" s="64" t="s">
        <v>1344</v>
      </c>
      <c r="B535" s="65" t="s">
        <v>1345</v>
      </c>
      <c r="C535" s="65" t="s">
        <v>23</v>
      </c>
      <c r="D535" s="72" t="s">
        <v>1346</v>
      </c>
      <c r="E535" s="65" t="s">
        <v>48</v>
      </c>
      <c r="F535" s="65">
        <v>7</v>
      </c>
      <c r="G535" s="89"/>
      <c r="H535" s="89"/>
      <c r="I535" s="89"/>
      <c r="J535" s="68"/>
      <c r="K535" s="89"/>
      <c r="L535" s="90"/>
      <c r="M535" s="20"/>
      <c r="N535" s="90"/>
      <c r="O535" s="90"/>
      <c r="P535" s="76"/>
      <c r="Q535" s="90"/>
      <c r="R535" s="89"/>
      <c r="S535" s="95"/>
    </row>
    <row r="536" spans="1:19" ht="25.5">
      <c r="A536" s="64" t="s">
        <v>1347</v>
      </c>
      <c r="B536" s="65" t="s">
        <v>1348</v>
      </c>
      <c r="C536" s="65" t="s">
        <v>23</v>
      </c>
      <c r="D536" s="72" t="s">
        <v>1349</v>
      </c>
      <c r="E536" s="65" t="s">
        <v>48</v>
      </c>
      <c r="F536" s="65">
        <v>1</v>
      </c>
      <c r="G536" s="89"/>
      <c r="H536" s="89"/>
      <c r="I536" s="89"/>
      <c r="J536" s="68"/>
      <c r="K536" s="89"/>
      <c r="L536" s="90"/>
      <c r="M536" s="20"/>
      <c r="N536" s="90"/>
      <c r="O536" s="90"/>
      <c r="P536" s="76"/>
      <c r="Q536" s="90"/>
      <c r="R536" s="89"/>
      <c r="S536" s="95"/>
    </row>
    <row r="537" spans="1:19" ht="25.5">
      <c r="A537" s="64" t="s">
        <v>1350</v>
      </c>
      <c r="B537" s="65" t="s">
        <v>1351</v>
      </c>
      <c r="C537" s="65" t="s">
        <v>23</v>
      </c>
      <c r="D537" s="72" t="s">
        <v>1352</v>
      </c>
      <c r="E537" s="65" t="s">
        <v>48</v>
      </c>
      <c r="F537" s="65">
        <v>6</v>
      </c>
      <c r="G537" s="89"/>
      <c r="H537" s="89"/>
      <c r="I537" s="89"/>
      <c r="J537" s="68"/>
      <c r="K537" s="89"/>
      <c r="L537" s="90"/>
      <c r="M537" s="20"/>
      <c r="N537" s="90"/>
      <c r="O537" s="90"/>
      <c r="P537" s="76"/>
      <c r="Q537" s="90"/>
      <c r="R537" s="89"/>
      <c r="S537" s="95"/>
    </row>
    <row r="538" spans="1:19" ht="38.25">
      <c r="A538" s="64" t="s">
        <v>1353</v>
      </c>
      <c r="B538" s="65" t="s">
        <v>1354</v>
      </c>
      <c r="C538" s="65" t="s">
        <v>23</v>
      </c>
      <c r="D538" s="72" t="s">
        <v>1355</v>
      </c>
      <c r="E538" s="65" t="s">
        <v>48</v>
      </c>
      <c r="F538" s="65">
        <v>6</v>
      </c>
      <c r="G538" s="89"/>
      <c r="H538" s="89"/>
      <c r="I538" s="89"/>
      <c r="J538" s="68"/>
      <c r="K538" s="89"/>
      <c r="L538" s="90"/>
      <c r="M538" s="20"/>
      <c r="N538" s="90"/>
      <c r="O538" s="90"/>
      <c r="P538" s="76"/>
      <c r="Q538" s="90"/>
      <c r="R538" s="89"/>
      <c r="S538" s="95"/>
    </row>
    <row r="539" spans="1:19" ht="25.5">
      <c r="A539" s="64" t="s">
        <v>1356</v>
      </c>
      <c r="B539" s="65" t="s">
        <v>1357</v>
      </c>
      <c r="C539" s="65" t="s">
        <v>23</v>
      </c>
      <c r="D539" s="72" t="s">
        <v>1358</v>
      </c>
      <c r="E539" s="65" t="s">
        <v>48</v>
      </c>
      <c r="F539" s="65">
        <v>72</v>
      </c>
      <c r="G539" s="89"/>
      <c r="H539" s="89"/>
      <c r="I539" s="89"/>
      <c r="J539" s="68"/>
      <c r="K539" s="89"/>
      <c r="L539" s="90"/>
      <c r="M539" s="20"/>
      <c r="N539" s="90"/>
      <c r="O539" s="90"/>
      <c r="P539" s="76"/>
      <c r="Q539" s="90"/>
      <c r="R539" s="89"/>
      <c r="S539" s="95"/>
    </row>
    <row r="540" spans="1:19" ht="25.5">
      <c r="A540" s="64" t="s">
        <v>1359</v>
      </c>
      <c r="B540" s="65" t="s">
        <v>1360</v>
      </c>
      <c r="C540" s="65" t="s">
        <v>23</v>
      </c>
      <c r="D540" s="72" t="s">
        <v>1361</v>
      </c>
      <c r="E540" s="65" t="s">
        <v>48</v>
      </c>
      <c r="F540" s="65">
        <v>6</v>
      </c>
      <c r="G540" s="89"/>
      <c r="H540" s="89"/>
      <c r="I540" s="89"/>
      <c r="J540" s="68"/>
      <c r="K540" s="89"/>
      <c r="L540" s="90"/>
      <c r="M540" s="20"/>
      <c r="N540" s="90"/>
      <c r="O540" s="90"/>
      <c r="P540" s="76"/>
      <c r="Q540" s="90"/>
      <c r="R540" s="89"/>
      <c r="S540" s="95"/>
    </row>
    <row r="541" spans="1:19" ht="25.5">
      <c r="A541" s="64" t="s">
        <v>1362</v>
      </c>
      <c r="B541" s="65" t="s">
        <v>1363</v>
      </c>
      <c r="C541" s="65" t="s">
        <v>23</v>
      </c>
      <c r="D541" s="72" t="s">
        <v>1364</v>
      </c>
      <c r="E541" s="65" t="s">
        <v>48</v>
      </c>
      <c r="F541" s="65">
        <v>297</v>
      </c>
      <c r="G541" s="89"/>
      <c r="H541" s="89"/>
      <c r="I541" s="89"/>
      <c r="J541" s="68"/>
      <c r="K541" s="89"/>
      <c r="L541" s="90"/>
      <c r="M541" s="20"/>
      <c r="N541" s="90"/>
      <c r="O541" s="90"/>
      <c r="P541" s="76"/>
      <c r="Q541" s="90"/>
      <c r="R541" s="89"/>
      <c r="S541" s="95"/>
    </row>
    <row r="542" spans="1:19" ht="25.5">
      <c r="A542" s="64" t="s">
        <v>1365</v>
      </c>
      <c r="B542" s="65" t="s">
        <v>1366</v>
      </c>
      <c r="C542" s="65" t="s">
        <v>23</v>
      </c>
      <c r="D542" s="72" t="s">
        <v>1367</v>
      </c>
      <c r="E542" s="65" t="s">
        <v>48</v>
      </c>
      <c r="F542" s="65">
        <v>20</v>
      </c>
      <c r="G542" s="89"/>
      <c r="H542" s="89"/>
      <c r="I542" s="89"/>
      <c r="J542" s="68"/>
      <c r="K542" s="89"/>
      <c r="L542" s="90"/>
      <c r="M542" s="20"/>
      <c r="N542" s="90"/>
      <c r="O542" s="90"/>
      <c r="P542" s="76"/>
      <c r="Q542" s="90"/>
      <c r="R542" s="89"/>
      <c r="S542" s="95"/>
    </row>
    <row r="543" spans="1:19" ht="25.5">
      <c r="A543" s="64" t="s">
        <v>1368</v>
      </c>
      <c r="B543" s="65" t="s">
        <v>1105</v>
      </c>
      <c r="C543" s="65" t="s">
        <v>23</v>
      </c>
      <c r="D543" s="72" t="s">
        <v>1106</v>
      </c>
      <c r="E543" s="65" t="s">
        <v>48</v>
      </c>
      <c r="F543" s="65">
        <v>8</v>
      </c>
      <c r="G543" s="89"/>
      <c r="H543" s="89"/>
      <c r="I543" s="89"/>
      <c r="J543" s="68"/>
      <c r="K543" s="89"/>
      <c r="L543" s="90"/>
      <c r="M543" s="20"/>
      <c r="N543" s="90"/>
      <c r="O543" s="90"/>
      <c r="P543" s="76"/>
      <c r="Q543" s="90"/>
      <c r="R543" s="89"/>
      <c r="S543" s="95"/>
    </row>
    <row r="544" spans="1:19" ht="15">
      <c r="A544" s="64" t="s">
        <v>1369</v>
      </c>
      <c r="B544" s="65" t="s">
        <v>981</v>
      </c>
      <c r="C544" s="65" t="s">
        <v>23</v>
      </c>
      <c r="D544" s="72" t="s">
        <v>982</v>
      </c>
      <c r="E544" s="65" t="s">
        <v>48</v>
      </c>
      <c r="F544" s="65">
        <v>34</v>
      </c>
      <c r="G544" s="89"/>
      <c r="H544" s="89"/>
      <c r="I544" s="89"/>
      <c r="J544" s="68"/>
      <c r="K544" s="89"/>
      <c r="L544" s="90"/>
      <c r="M544" s="20"/>
      <c r="N544" s="90"/>
      <c r="O544" s="90"/>
      <c r="P544" s="76"/>
      <c r="Q544" s="90"/>
      <c r="R544" s="89"/>
      <c r="S544" s="95"/>
    </row>
    <row r="545" spans="1:19" ht="15">
      <c r="A545" s="64" t="s">
        <v>1370</v>
      </c>
      <c r="B545" s="65" t="s">
        <v>984</v>
      </c>
      <c r="C545" s="65" t="s">
        <v>23</v>
      </c>
      <c r="D545" s="72" t="s">
        <v>985</v>
      </c>
      <c r="E545" s="65" t="s">
        <v>48</v>
      </c>
      <c r="F545" s="65">
        <v>7</v>
      </c>
      <c r="G545" s="89"/>
      <c r="H545" s="89"/>
      <c r="I545" s="89"/>
      <c r="J545" s="68"/>
      <c r="K545" s="89"/>
      <c r="L545" s="90"/>
      <c r="M545" s="20"/>
      <c r="N545" s="90"/>
      <c r="O545" s="90"/>
      <c r="P545" s="76"/>
      <c r="Q545" s="90"/>
      <c r="R545" s="89"/>
      <c r="S545" s="95"/>
    </row>
    <row r="546" spans="1:19" ht="15">
      <c r="A546" s="64" t="s">
        <v>1371</v>
      </c>
      <c r="B546" s="65" t="s">
        <v>987</v>
      </c>
      <c r="C546" s="65" t="s">
        <v>23</v>
      </c>
      <c r="D546" s="72" t="s">
        <v>988</v>
      </c>
      <c r="E546" s="65" t="s">
        <v>48</v>
      </c>
      <c r="F546" s="65">
        <v>28</v>
      </c>
      <c r="G546" s="89"/>
      <c r="H546" s="89"/>
      <c r="I546" s="89"/>
      <c r="J546" s="68"/>
      <c r="K546" s="89"/>
      <c r="L546" s="90"/>
      <c r="M546" s="20"/>
      <c r="N546" s="90"/>
      <c r="O546" s="90"/>
      <c r="P546" s="76"/>
      <c r="Q546" s="90"/>
      <c r="R546" s="89"/>
      <c r="S546" s="95"/>
    </row>
    <row r="547" spans="1:19" ht="63.75">
      <c r="A547" s="64" t="s">
        <v>1372</v>
      </c>
      <c r="B547" s="65" t="s">
        <v>1005</v>
      </c>
      <c r="C547" s="65" t="s">
        <v>23</v>
      </c>
      <c r="D547" s="72" t="s">
        <v>1006</v>
      </c>
      <c r="E547" s="65" t="s">
        <v>48</v>
      </c>
      <c r="F547" s="65">
        <v>120</v>
      </c>
      <c r="G547" s="89"/>
      <c r="H547" s="89"/>
      <c r="I547" s="89"/>
      <c r="J547" s="68"/>
      <c r="K547" s="89"/>
      <c r="L547" s="90"/>
      <c r="M547" s="20"/>
      <c r="N547" s="90"/>
      <c r="O547" s="90"/>
      <c r="P547" s="76"/>
      <c r="Q547" s="90"/>
      <c r="R547" s="89"/>
      <c r="S547" s="95"/>
    </row>
    <row r="548" spans="1:19" ht="51">
      <c r="A548" s="64" t="s">
        <v>1373</v>
      </c>
      <c r="B548" s="65" t="s">
        <v>1011</v>
      </c>
      <c r="C548" s="65" t="s">
        <v>23</v>
      </c>
      <c r="D548" s="72" t="s">
        <v>1012</v>
      </c>
      <c r="E548" s="65" t="s">
        <v>48</v>
      </c>
      <c r="F548" s="65">
        <v>101</v>
      </c>
      <c r="G548" s="89"/>
      <c r="H548" s="89"/>
      <c r="I548" s="89"/>
      <c r="J548" s="68"/>
      <c r="K548" s="89"/>
      <c r="L548" s="90"/>
      <c r="M548" s="20"/>
      <c r="N548" s="90"/>
      <c r="O548" s="90"/>
      <c r="P548" s="76"/>
      <c r="Q548" s="90"/>
      <c r="R548" s="89"/>
      <c r="S548" s="95"/>
    </row>
    <row r="549" spans="1:19" ht="25.5">
      <c r="A549" s="64" t="s">
        <v>1374</v>
      </c>
      <c r="B549" s="65" t="s">
        <v>1014</v>
      </c>
      <c r="C549" s="65" t="s">
        <v>23</v>
      </c>
      <c r="D549" s="72" t="s">
        <v>1015</v>
      </c>
      <c r="E549" s="65" t="s">
        <v>48</v>
      </c>
      <c r="F549" s="65">
        <v>239</v>
      </c>
      <c r="G549" s="89"/>
      <c r="H549" s="89"/>
      <c r="I549" s="89"/>
      <c r="J549" s="68"/>
      <c r="K549" s="89"/>
      <c r="L549" s="90"/>
      <c r="M549" s="20"/>
      <c r="N549" s="90"/>
      <c r="O549" s="90"/>
      <c r="P549" s="76"/>
      <c r="Q549" s="90"/>
      <c r="R549" s="89"/>
      <c r="S549" s="95"/>
    </row>
    <row r="550" spans="1:19" ht="38.25">
      <c r="A550" s="64" t="s">
        <v>1375</v>
      </c>
      <c r="B550" s="65" t="s">
        <v>1376</v>
      </c>
      <c r="C550" s="65" t="s">
        <v>133</v>
      </c>
      <c r="D550" s="72" t="s">
        <v>1377</v>
      </c>
      <c r="E550" s="65" t="s">
        <v>253</v>
      </c>
      <c r="F550" s="65">
        <v>1</v>
      </c>
      <c r="G550" s="89"/>
      <c r="H550" s="89"/>
      <c r="I550" s="89"/>
      <c r="J550" s="68"/>
      <c r="K550" s="89"/>
      <c r="L550" s="90"/>
      <c r="M550" s="20"/>
      <c r="N550" s="90"/>
      <c r="O550" s="90"/>
      <c r="P550" s="76"/>
      <c r="Q550" s="90"/>
      <c r="R550" s="89"/>
      <c r="S550" s="95"/>
    </row>
    <row r="551" spans="1:19" ht="38.25">
      <c r="A551" s="64" t="s">
        <v>1378</v>
      </c>
      <c r="B551" s="65" t="s">
        <v>1020</v>
      </c>
      <c r="C551" s="65" t="s">
        <v>23</v>
      </c>
      <c r="D551" s="72" t="s">
        <v>1021</v>
      </c>
      <c r="E551" s="65" t="s">
        <v>48</v>
      </c>
      <c r="F551" s="65">
        <v>3</v>
      </c>
      <c r="G551" s="89"/>
      <c r="H551" s="89"/>
      <c r="I551" s="89"/>
      <c r="J551" s="68"/>
      <c r="K551" s="89"/>
      <c r="L551" s="90"/>
      <c r="M551" s="20"/>
      <c r="N551" s="90"/>
      <c r="O551" s="90"/>
      <c r="P551" s="76"/>
      <c r="Q551" s="90"/>
      <c r="R551" s="89"/>
      <c r="S551" s="95"/>
    </row>
    <row r="552" spans="1:19" ht="15">
      <c r="A552" s="64" t="s">
        <v>1379</v>
      </c>
      <c r="B552" s="65" t="s">
        <v>1380</v>
      </c>
      <c r="C552" s="65" t="s">
        <v>23</v>
      </c>
      <c r="D552" s="72" t="s">
        <v>1381</v>
      </c>
      <c r="E552" s="65" t="s">
        <v>107</v>
      </c>
      <c r="F552" s="65">
        <v>23</v>
      </c>
      <c r="G552" s="89"/>
      <c r="H552" s="89"/>
      <c r="I552" s="89"/>
      <c r="J552" s="68"/>
      <c r="K552" s="89"/>
      <c r="L552" s="90"/>
      <c r="M552" s="20"/>
      <c r="N552" s="90"/>
      <c r="O552" s="90"/>
      <c r="P552" s="76"/>
      <c r="Q552" s="90"/>
      <c r="R552" s="89"/>
      <c r="S552" s="95"/>
    </row>
    <row r="553" spans="1:19" ht="15">
      <c r="A553" s="64" t="s">
        <v>1382</v>
      </c>
      <c r="B553" s="65" t="s">
        <v>673</v>
      </c>
      <c r="C553" s="65" t="s">
        <v>23</v>
      </c>
      <c r="D553" s="72" t="s">
        <v>674</v>
      </c>
      <c r="E553" s="65" t="s">
        <v>107</v>
      </c>
      <c r="F553" s="65">
        <v>70</v>
      </c>
      <c r="G553" s="89"/>
      <c r="H553" s="89"/>
      <c r="I553" s="89"/>
      <c r="J553" s="68"/>
      <c r="K553" s="89"/>
      <c r="L553" s="90"/>
      <c r="M553" s="20"/>
      <c r="N553" s="90"/>
      <c r="O553" s="90"/>
      <c r="P553" s="76"/>
      <c r="Q553" s="90"/>
      <c r="R553" s="89"/>
      <c r="S553" s="95"/>
    </row>
    <row r="554" spans="1:19" ht="25.5">
      <c r="A554" s="64" t="s">
        <v>1383</v>
      </c>
      <c r="B554" s="65" t="s">
        <v>1384</v>
      </c>
      <c r="C554" s="65" t="s">
        <v>200</v>
      </c>
      <c r="D554" s="72" t="s">
        <v>1385</v>
      </c>
      <c r="E554" s="65" t="s">
        <v>253</v>
      </c>
      <c r="F554" s="65">
        <v>119</v>
      </c>
      <c r="G554" s="89"/>
      <c r="H554" s="89"/>
      <c r="I554" s="89"/>
      <c r="J554" s="68"/>
      <c r="K554" s="89"/>
      <c r="L554" s="90"/>
      <c r="M554" s="20"/>
      <c r="N554" s="90"/>
      <c r="O554" s="90"/>
      <c r="P554" s="76"/>
      <c r="Q554" s="90"/>
      <c r="R554" s="89"/>
      <c r="S554" s="95"/>
    </row>
    <row r="555" spans="1:19" ht="25.5">
      <c r="A555" s="64" t="s">
        <v>1386</v>
      </c>
      <c r="B555" s="65" t="s">
        <v>1387</v>
      </c>
      <c r="C555" s="65" t="s">
        <v>200</v>
      </c>
      <c r="D555" s="72" t="s">
        <v>1388</v>
      </c>
      <c r="E555" s="65" t="s">
        <v>253</v>
      </c>
      <c r="F555" s="65">
        <v>54</v>
      </c>
      <c r="G555" s="89"/>
      <c r="H555" s="89"/>
      <c r="I555" s="89"/>
      <c r="J555" s="68"/>
      <c r="K555" s="89"/>
      <c r="L555" s="90"/>
      <c r="M555" s="20"/>
      <c r="N555" s="90"/>
      <c r="O555" s="90"/>
      <c r="P555" s="76"/>
      <c r="Q555" s="90"/>
      <c r="R555" s="89"/>
      <c r="S555" s="95"/>
    </row>
    <row r="556" spans="1:19" ht="25.5">
      <c r="A556" s="64" t="s">
        <v>1389</v>
      </c>
      <c r="B556" s="65" t="s">
        <v>1387</v>
      </c>
      <c r="C556" s="65" t="s">
        <v>200</v>
      </c>
      <c r="D556" s="72" t="s">
        <v>1388</v>
      </c>
      <c r="E556" s="65" t="s">
        <v>253</v>
      </c>
      <c r="F556" s="65">
        <v>1</v>
      </c>
      <c r="G556" s="89"/>
      <c r="H556" s="89"/>
      <c r="I556" s="89"/>
      <c r="J556" s="68"/>
      <c r="K556" s="89"/>
      <c r="L556" s="90"/>
      <c r="M556" s="20"/>
      <c r="N556" s="90"/>
      <c r="O556" s="90"/>
      <c r="P556" s="76"/>
      <c r="Q556" s="90"/>
      <c r="R556" s="89"/>
      <c r="S556" s="95"/>
    </row>
    <row r="557" spans="1:19" ht="15">
      <c r="A557" s="64" t="s">
        <v>1389</v>
      </c>
      <c r="B557" s="65" t="s">
        <v>1390</v>
      </c>
      <c r="C557" s="65" t="s">
        <v>200</v>
      </c>
      <c r="D557" s="72" t="s">
        <v>1391</v>
      </c>
      <c r="E557" s="65" t="s">
        <v>253</v>
      </c>
      <c r="F557" s="65">
        <v>1</v>
      </c>
      <c r="G557" s="89"/>
      <c r="H557" s="89"/>
      <c r="I557" s="89"/>
      <c r="J557" s="68"/>
      <c r="K557" s="89"/>
      <c r="L557" s="90"/>
      <c r="M557" s="20"/>
      <c r="N557" s="90"/>
      <c r="O557" s="90"/>
      <c r="P557" s="76"/>
      <c r="Q557" s="90"/>
      <c r="R557" s="89"/>
      <c r="S557" s="95"/>
    </row>
    <row r="558" spans="1:19" ht="38.25">
      <c r="A558" s="64" t="s">
        <v>1392</v>
      </c>
      <c r="B558" s="65" t="s">
        <v>1393</v>
      </c>
      <c r="C558" s="65" t="s">
        <v>133</v>
      </c>
      <c r="D558" s="72" t="s">
        <v>1394</v>
      </c>
      <c r="E558" s="65" t="s">
        <v>193</v>
      </c>
      <c r="F558" s="65">
        <v>100</v>
      </c>
      <c r="G558" s="89"/>
      <c r="H558" s="89"/>
      <c r="I558" s="89"/>
      <c r="J558" s="68"/>
      <c r="K558" s="89"/>
      <c r="L558" s="90"/>
      <c r="M558" s="20"/>
      <c r="N558" s="90"/>
      <c r="O558" s="90"/>
      <c r="P558" s="76"/>
      <c r="Q558" s="90"/>
      <c r="R558" s="89"/>
      <c r="S558" s="95"/>
    </row>
    <row r="559" spans="1:19">
      <c r="A559" s="60" t="s">
        <v>1395</v>
      </c>
      <c r="B559" s="21"/>
      <c r="C559" s="21"/>
      <c r="D559" s="61" t="s">
        <v>1396</v>
      </c>
      <c r="E559" s="21"/>
      <c r="F559" s="21"/>
      <c r="G559" s="89"/>
      <c r="H559" s="89"/>
      <c r="I559" s="89"/>
      <c r="J559" s="91"/>
      <c r="K559" s="91"/>
      <c r="L559" s="92"/>
      <c r="M559" s="12"/>
      <c r="N559" s="92"/>
      <c r="O559" s="92"/>
      <c r="P559" s="93"/>
      <c r="Q559" s="92"/>
      <c r="R559" s="91"/>
      <c r="S559" s="94"/>
    </row>
    <row r="560" spans="1:19" ht="15">
      <c r="A560" s="64" t="s">
        <v>1397</v>
      </c>
      <c r="B560" s="65" t="s">
        <v>670</v>
      </c>
      <c r="C560" s="65" t="s">
        <v>23</v>
      </c>
      <c r="D560" s="72" t="s">
        <v>671</v>
      </c>
      <c r="E560" s="65" t="s">
        <v>107</v>
      </c>
      <c r="F560" s="65">
        <v>275</v>
      </c>
      <c r="G560" s="89"/>
      <c r="H560" s="89"/>
      <c r="I560" s="89"/>
      <c r="J560" s="68"/>
      <c r="K560" s="89"/>
      <c r="L560" s="90"/>
      <c r="M560" s="20"/>
      <c r="N560" s="90"/>
      <c r="O560" s="90"/>
      <c r="P560" s="76"/>
      <c r="Q560" s="90"/>
      <c r="R560" s="89"/>
      <c r="S560" s="95"/>
    </row>
    <row r="561" spans="1:19" ht="25.5">
      <c r="A561" s="64" t="s">
        <v>1398</v>
      </c>
      <c r="B561" s="65" t="s">
        <v>703</v>
      </c>
      <c r="C561" s="65" t="s">
        <v>23</v>
      </c>
      <c r="D561" s="72" t="s">
        <v>704</v>
      </c>
      <c r="E561" s="65" t="s">
        <v>107</v>
      </c>
      <c r="F561" s="65">
        <v>180</v>
      </c>
      <c r="G561" s="89"/>
      <c r="H561" s="89"/>
      <c r="I561" s="89"/>
      <c r="J561" s="68"/>
      <c r="K561" s="89"/>
      <c r="L561" s="90"/>
      <c r="M561" s="20"/>
      <c r="N561" s="90"/>
      <c r="O561" s="90"/>
      <c r="P561" s="76"/>
      <c r="Q561" s="90"/>
      <c r="R561" s="89"/>
      <c r="S561" s="95"/>
    </row>
    <row r="562" spans="1:19" ht="102">
      <c r="A562" s="64" t="s">
        <v>1399</v>
      </c>
      <c r="B562" s="65" t="s">
        <v>1400</v>
      </c>
      <c r="C562" s="65" t="s">
        <v>200</v>
      </c>
      <c r="D562" s="72" t="s">
        <v>1401</v>
      </c>
      <c r="E562" s="65" t="s">
        <v>193</v>
      </c>
      <c r="F562" s="65">
        <v>1707</v>
      </c>
      <c r="G562" s="89"/>
      <c r="H562" s="89"/>
      <c r="I562" s="89"/>
      <c r="J562" s="68"/>
      <c r="K562" s="89"/>
      <c r="L562" s="90"/>
      <c r="M562" s="20"/>
      <c r="N562" s="90"/>
      <c r="O562" s="90"/>
      <c r="P562" s="76"/>
      <c r="Q562" s="90"/>
      <c r="R562" s="89"/>
      <c r="S562" s="95"/>
    </row>
    <row r="563" spans="1:19" ht="25.5">
      <c r="A563" s="64" t="s">
        <v>1402</v>
      </c>
      <c r="B563" s="65" t="s">
        <v>754</v>
      </c>
      <c r="C563" s="65" t="s">
        <v>23</v>
      </c>
      <c r="D563" s="72" t="s">
        <v>755</v>
      </c>
      <c r="E563" s="65" t="s">
        <v>48</v>
      </c>
      <c r="F563" s="65">
        <v>7</v>
      </c>
      <c r="G563" s="89"/>
      <c r="H563" s="89"/>
      <c r="I563" s="89"/>
      <c r="J563" s="68"/>
      <c r="K563" s="89"/>
      <c r="L563" s="90"/>
      <c r="M563" s="20"/>
      <c r="N563" s="90"/>
      <c r="O563" s="90"/>
      <c r="P563" s="76"/>
      <c r="Q563" s="90"/>
      <c r="R563" s="89"/>
      <c r="S563" s="95"/>
    </row>
    <row r="564" spans="1:19" ht="38.25">
      <c r="A564" s="64" t="s">
        <v>1403</v>
      </c>
      <c r="B564" s="65" t="s">
        <v>1404</v>
      </c>
      <c r="C564" s="65" t="s">
        <v>133</v>
      </c>
      <c r="D564" s="72" t="s">
        <v>1405</v>
      </c>
      <c r="E564" s="65" t="s">
        <v>253</v>
      </c>
      <c r="F564" s="65">
        <v>158</v>
      </c>
      <c r="G564" s="89"/>
      <c r="H564" s="89"/>
      <c r="I564" s="89"/>
      <c r="J564" s="68"/>
      <c r="K564" s="89"/>
      <c r="L564" s="90"/>
      <c r="M564" s="20"/>
      <c r="N564" s="90"/>
      <c r="O564" s="90"/>
      <c r="P564" s="76"/>
      <c r="Q564" s="90"/>
      <c r="R564" s="89"/>
      <c r="S564" s="95"/>
    </row>
    <row r="565" spans="1:19" ht="25.5">
      <c r="A565" s="64" t="s">
        <v>1406</v>
      </c>
      <c r="B565" s="65" t="s">
        <v>1407</v>
      </c>
      <c r="C565" s="65" t="s">
        <v>200</v>
      </c>
      <c r="D565" s="72" t="s">
        <v>1408</v>
      </c>
      <c r="E565" s="65" t="s">
        <v>253</v>
      </c>
      <c r="F565" s="65">
        <v>300</v>
      </c>
      <c r="G565" s="89"/>
      <c r="H565" s="89"/>
      <c r="I565" s="89"/>
      <c r="J565" s="68"/>
      <c r="K565" s="89"/>
      <c r="L565" s="90"/>
      <c r="M565" s="20"/>
      <c r="N565" s="90"/>
      <c r="O565" s="90"/>
      <c r="P565" s="76"/>
      <c r="Q565" s="90"/>
      <c r="R565" s="89"/>
      <c r="S565" s="95"/>
    </row>
    <row r="566" spans="1:19" ht="25.5">
      <c r="A566" s="64" t="s">
        <v>1409</v>
      </c>
      <c r="B566" s="65" t="s">
        <v>1410</v>
      </c>
      <c r="C566" s="65" t="s">
        <v>6</v>
      </c>
      <c r="D566" s="72" t="s">
        <v>1411</v>
      </c>
      <c r="E566" s="65" t="s">
        <v>253</v>
      </c>
      <c r="F566" s="65">
        <v>4</v>
      </c>
      <c r="G566" s="89"/>
      <c r="H566" s="89"/>
      <c r="I566" s="89"/>
      <c r="J566" s="68"/>
      <c r="K566" s="89"/>
      <c r="L566" s="90"/>
      <c r="M566" s="20"/>
      <c r="N566" s="90"/>
      <c r="O566" s="90"/>
      <c r="P566" s="76"/>
      <c r="Q566" s="90"/>
      <c r="R566" s="89"/>
      <c r="S566" s="95"/>
    </row>
    <row r="567" spans="1:19" ht="15">
      <c r="A567" s="64" t="s">
        <v>1412</v>
      </c>
      <c r="B567" s="65" t="s">
        <v>1413</v>
      </c>
      <c r="C567" s="65" t="s">
        <v>6</v>
      </c>
      <c r="D567" s="72" t="s">
        <v>1414</v>
      </c>
      <c r="E567" s="65" t="s">
        <v>193</v>
      </c>
      <c r="F567" s="65">
        <v>18</v>
      </c>
      <c r="G567" s="89"/>
      <c r="H567" s="89"/>
      <c r="I567" s="89"/>
      <c r="J567" s="68"/>
      <c r="K567" s="89"/>
      <c r="L567" s="90"/>
      <c r="M567" s="20"/>
      <c r="N567" s="90"/>
      <c r="O567" s="90"/>
      <c r="P567" s="76"/>
      <c r="Q567" s="90"/>
      <c r="R567" s="89"/>
      <c r="S567" s="95"/>
    </row>
    <row r="568" spans="1:19" ht="25.5">
      <c r="A568" s="64" t="s">
        <v>1415</v>
      </c>
      <c r="B568" s="65" t="s">
        <v>1416</v>
      </c>
      <c r="C568" s="65" t="s">
        <v>6</v>
      </c>
      <c r="D568" s="72" t="s">
        <v>1417</v>
      </c>
      <c r="E568" s="65" t="s">
        <v>193</v>
      </c>
      <c r="F568" s="65">
        <v>90</v>
      </c>
      <c r="G568" s="89"/>
      <c r="H568" s="89"/>
      <c r="I568" s="89"/>
      <c r="J568" s="68"/>
      <c r="K568" s="89"/>
      <c r="L568" s="90"/>
      <c r="M568" s="20"/>
      <c r="N568" s="90"/>
      <c r="O568" s="90"/>
      <c r="P568" s="76"/>
      <c r="Q568" s="90"/>
      <c r="R568" s="89"/>
      <c r="S568" s="95"/>
    </row>
    <row r="569" spans="1:19" ht="25.5">
      <c r="A569" s="64" t="s">
        <v>1418</v>
      </c>
      <c r="B569" s="65" t="s">
        <v>1419</v>
      </c>
      <c r="C569" s="65" t="s">
        <v>6</v>
      </c>
      <c r="D569" s="72" t="s">
        <v>1420</v>
      </c>
      <c r="E569" s="65" t="s">
        <v>193</v>
      </c>
      <c r="F569" s="65">
        <v>776</v>
      </c>
      <c r="G569" s="89"/>
      <c r="H569" s="89"/>
      <c r="I569" s="89"/>
      <c r="J569" s="68"/>
      <c r="K569" s="89"/>
      <c r="L569" s="90"/>
      <c r="M569" s="20"/>
      <c r="N569" s="90"/>
      <c r="O569" s="90"/>
      <c r="P569" s="76"/>
      <c r="Q569" s="90"/>
      <c r="R569" s="89"/>
      <c r="S569" s="95"/>
    </row>
    <row r="570" spans="1:19" ht="25.5">
      <c r="A570" s="64" t="s">
        <v>1421</v>
      </c>
      <c r="B570" s="65" t="s">
        <v>814</v>
      </c>
      <c r="C570" s="65" t="s">
        <v>23</v>
      </c>
      <c r="D570" s="72" t="s">
        <v>815</v>
      </c>
      <c r="E570" s="65" t="s">
        <v>107</v>
      </c>
      <c r="F570" s="65">
        <v>33</v>
      </c>
      <c r="G570" s="89"/>
      <c r="H570" s="89"/>
      <c r="I570" s="89"/>
      <c r="J570" s="68"/>
      <c r="K570" s="89"/>
      <c r="L570" s="90"/>
      <c r="M570" s="20"/>
      <c r="N570" s="90"/>
      <c r="O570" s="90"/>
      <c r="P570" s="76"/>
      <c r="Q570" s="90"/>
      <c r="R570" s="89"/>
      <c r="S570" s="95"/>
    </row>
    <row r="571" spans="1:19" ht="25.5">
      <c r="A571" s="64" t="s">
        <v>1422</v>
      </c>
      <c r="B571" s="65" t="s">
        <v>1423</v>
      </c>
      <c r="C571" s="65" t="s">
        <v>23</v>
      </c>
      <c r="D571" s="72" t="s">
        <v>1424</v>
      </c>
      <c r="E571" s="65" t="s">
        <v>48</v>
      </c>
      <c r="F571" s="65">
        <v>15</v>
      </c>
      <c r="G571" s="89"/>
      <c r="H571" s="89"/>
      <c r="I571" s="89"/>
      <c r="J571" s="68"/>
      <c r="K571" s="89"/>
      <c r="L571" s="90"/>
      <c r="M571" s="20"/>
      <c r="N571" s="90"/>
      <c r="O571" s="90"/>
      <c r="P571" s="76"/>
      <c r="Q571" s="90"/>
      <c r="R571" s="89"/>
      <c r="S571" s="95"/>
    </row>
    <row r="572" spans="1:19" ht="51">
      <c r="A572" s="64" t="s">
        <v>1422</v>
      </c>
      <c r="B572" s="65" t="s">
        <v>829</v>
      </c>
      <c r="C572" s="65" t="s">
        <v>23</v>
      </c>
      <c r="D572" s="72" t="s">
        <v>830</v>
      </c>
      <c r="E572" s="65" t="s">
        <v>107</v>
      </c>
      <c r="F572" s="65">
        <v>33</v>
      </c>
      <c r="G572" s="89"/>
      <c r="H572" s="89"/>
      <c r="I572" s="89"/>
      <c r="J572" s="68"/>
      <c r="K572" s="89"/>
      <c r="L572" s="90"/>
      <c r="M572" s="20"/>
      <c r="N572" s="90"/>
      <c r="O572" s="90"/>
      <c r="P572" s="76"/>
      <c r="Q572" s="90"/>
      <c r="R572" s="89"/>
      <c r="S572" s="95"/>
    </row>
    <row r="573" spans="1:19" ht="25.5">
      <c r="A573" s="64" t="s">
        <v>1425</v>
      </c>
      <c r="B573" s="65" t="s">
        <v>856</v>
      </c>
      <c r="C573" s="65" t="s">
        <v>23</v>
      </c>
      <c r="D573" s="72" t="s">
        <v>857</v>
      </c>
      <c r="E573" s="65" t="s">
        <v>48</v>
      </c>
      <c r="F573" s="65">
        <v>10</v>
      </c>
      <c r="G573" s="89"/>
      <c r="H573" s="89"/>
      <c r="I573" s="89"/>
      <c r="J573" s="68"/>
      <c r="K573" s="89"/>
      <c r="L573" s="90"/>
      <c r="M573" s="20"/>
      <c r="N573" s="90"/>
      <c r="O573" s="90"/>
      <c r="P573" s="76"/>
      <c r="Q573" s="90"/>
      <c r="R573" s="89"/>
      <c r="S573" s="95"/>
    </row>
    <row r="574" spans="1:19" ht="63.75">
      <c r="A574" s="64" t="s">
        <v>1426</v>
      </c>
      <c r="B574" s="65" t="s">
        <v>1427</v>
      </c>
      <c r="C574" s="65" t="s">
        <v>133</v>
      </c>
      <c r="D574" s="72" t="s">
        <v>1428</v>
      </c>
      <c r="E574" s="65" t="s">
        <v>193</v>
      </c>
      <c r="F574" s="65">
        <v>116.4</v>
      </c>
      <c r="G574" s="89"/>
      <c r="H574" s="89"/>
      <c r="I574" s="89"/>
      <c r="J574" s="68"/>
      <c r="K574" s="89"/>
      <c r="L574" s="90"/>
      <c r="M574" s="20"/>
      <c r="N574" s="90"/>
      <c r="O574" s="90"/>
      <c r="P574" s="76"/>
      <c r="Q574" s="90"/>
      <c r="R574" s="89"/>
      <c r="S574" s="95"/>
    </row>
    <row r="575" spans="1:19" ht="25.5">
      <c r="A575" s="64" t="s">
        <v>1429</v>
      </c>
      <c r="B575" s="65" t="s">
        <v>1423</v>
      </c>
      <c r="C575" s="65" t="s">
        <v>23</v>
      </c>
      <c r="D575" s="72" t="s">
        <v>1424</v>
      </c>
      <c r="E575" s="65" t="s">
        <v>48</v>
      </c>
      <c r="F575" s="65">
        <v>15</v>
      </c>
      <c r="G575" s="89"/>
      <c r="H575" s="89"/>
      <c r="I575" s="89"/>
      <c r="J575" s="68"/>
      <c r="K575" s="89"/>
      <c r="L575" s="90"/>
      <c r="M575" s="20"/>
      <c r="N575" s="90"/>
      <c r="O575" s="90"/>
      <c r="P575" s="76"/>
      <c r="Q575" s="90"/>
      <c r="R575" s="89"/>
      <c r="S575" s="95"/>
    </row>
    <row r="576" spans="1:19" ht="51">
      <c r="A576" s="64" t="s">
        <v>1430</v>
      </c>
      <c r="B576" s="65" t="s">
        <v>1431</v>
      </c>
      <c r="C576" s="65" t="s">
        <v>23</v>
      </c>
      <c r="D576" s="72" t="s">
        <v>1432</v>
      </c>
      <c r="E576" s="65" t="s">
        <v>48</v>
      </c>
      <c r="F576" s="65">
        <v>1</v>
      </c>
      <c r="G576" s="89"/>
      <c r="H576" s="89"/>
      <c r="I576" s="89"/>
      <c r="J576" s="68"/>
      <c r="K576" s="89"/>
      <c r="L576" s="90"/>
      <c r="M576" s="20"/>
      <c r="N576" s="90"/>
      <c r="O576" s="90"/>
      <c r="P576" s="76"/>
      <c r="Q576" s="90"/>
      <c r="R576" s="89"/>
      <c r="S576" s="95"/>
    </row>
    <row r="577" spans="1:19" ht="25.5">
      <c r="A577" s="64" t="s">
        <v>1433</v>
      </c>
      <c r="B577" s="65" t="s">
        <v>1434</v>
      </c>
      <c r="C577" s="65" t="s">
        <v>23</v>
      </c>
      <c r="D577" s="72" t="s">
        <v>1435</v>
      </c>
      <c r="E577" s="65" t="s">
        <v>48</v>
      </c>
      <c r="F577" s="65">
        <v>151</v>
      </c>
      <c r="G577" s="89"/>
      <c r="H577" s="89"/>
      <c r="I577" s="89"/>
      <c r="J577" s="68"/>
      <c r="K577" s="89"/>
      <c r="L577" s="90"/>
      <c r="M577" s="20"/>
      <c r="N577" s="90"/>
      <c r="O577" s="90"/>
      <c r="P577" s="76"/>
      <c r="Q577" s="90"/>
      <c r="R577" s="89"/>
      <c r="S577" s="95"/>
    </row>
    <row r="578" spans="1:19" ht="25.5">
      <c r="A578" s="64" t="s">
        <v>1436</v>
      </c>
      <c r="B578" s="65" t="s">
        <v>1437</v>
      </c>
      <c r="C578" s="65" t="s">
        <v>23</v>
      </c>
      <c r="D578" s="72" t="s">
        <v>1438</v>
      </c>
      <c r="E578" s="65" t="s">
        <v>48</v>
      </c>
      <c r="F578" s="65">
        <v>15</v>
      </c>
      <c r="G578" s="89"/>
      <c r="H578" s="89"/>
      <c r="I578" s="89"/>
      <c r="J578" s="68"/>
      <c r="K578" s="89"/>
      <c r="L578" s="90"/>
      <c r="M578" s="20"/>
      <c r="N578" s="90"/>
      <c r="O578" s="90"/>
      <c r="P578" s="76"/>
      <c r="Q578" s="90"/>
      <c r="R578" s="89"/>
      <c r="S578" s="95"/>
    </row>
    <row r="579" spans="1:19" ht="15">
      <c r="A579" s="64" t="s">
        <v>1439</v>
      </c>
      <c r="B579" s="65" t="s">
        <v>1440</v>
      </c>
      <c r="C579" s="65" t="s">
        <v>6</v>
      </c>
      <c r="D579" s="72" t="s">
        <v>1441</v>
      </c>
      <c r="E579" s="65" t="s">
        <v>1442</v>
      </c>
      <c r="F579" s="65">
        <v>2</v>
      </c>
      <c r="G579" s="89"/>
      <c r="H579" s="89"/>
      <c r="I579" s="89"/>
      <c r="J579" s="68"/>
      <c r="K579" s="89"/>
      <c r="L579" s="90"/>
      <c r="M579" s="20"/>
      <c r="N579" s="90"/>
      <c r="O579" s="90"/>
      <c r="P579" s="76"/>
      <c r="Q579" s="90"/>
      <c r="R579" s="89"/>
      <c r="S579" s="95"/>
    </row>
    <row r="580" spans="1:19" ht="51">
      <c r="A580" s="64" t="s">
        <v>1443</v>
      </c>
      <c r="B580" s="65" t="s">
        <v>1011</v>
      </c>
      <c r="C580" s="65" t="s">
        <v>23</v>
      </c>
      <c r="D580" s="72" t="s">
        <v>1012</v>
      </c>
      <c r="E580" s="65" t="s">
        <v>48</v>
      </c>
      <c r="F580" s="65">
        <v>29</v>
      </c>
      <c r="G580" s="89"/>
      <c r="H580" s="89"/>
      <c r="I580" s="89"/>
      <c r="J580" s="68"/>
      <c r="K580" s="89"/>
      <c r="L580" s="90"/>
      <c r="M580" s="20"/>
      <c r="N580" s="90"/>
      <c r="O580" s="90"/>
      <c r="P580" s="76"/>
      <c r="Q580" s="90"/>
      <c r="R580" s="89"/>
      <c r="S580" s="95"/>
    </row>
    <row r="581" spans="1:19" ht="38.25">
      <c r="A581" s="60" t="s">
        <v>1444</v>
      </c>
      <c r="B581" s="21"/>
      <c r="C581" s="21"/>
      <c r="D581" s="61" t="s">
        <v>1445</v>
      </c>
      <c r="E581" s="21"/>
      <c r="F581" s="21"/>
      <c r="G581" s="89"/>
      <c r="H581" s="89"/>
      <c r="I581" s="89"/>
      <c r="J581" s="91"/>
      <c r="K581" s="91"/>
      <c r="L581" s="92"/>
      <c r="M581" s="12"/>
      <c r="N581" s="92"/>
      <c r="O581" s="92"/>
      <c r="P581" s="93"/>
      <c r="Q581" s="92"/>
      <c r="R581" s="91"/>
      <c r="S581" s="94"/>
    </row>
    <row r="582" spans="1:19">
      <c r="A582" s="60" t="s">
        <v>1446</v>
      </c>
      <c r="B582" s="21"/>
      <c r="C582" s="21"/>
      <c r="D582" s="61" t="s">
        <v>1447</v>
      </c>
      <c r="E582" s="21"/>
      <c r="F582" s="21"/>
      <c r="G582" s="89"/>
      <c r="H582" s="89"/>
      <c r="I582" s="89"/>
      <c r="J582" s="91"/>
      <c r="K582" s="91"/>
      <c r="L582" s="92"/>
      <c r="M582" s="12"/>
      <c r="N582" s="92"/>
      <c r="O582" s="92"/>
      <c r="P582" s="93"/>
      <c r="Q582" s="92"/>
      <c r="R582" s="91"/>
      <c r="S582" s="94"/>
    </row>
    <row r="583" spans="1:19" ht="51">
      <c r="A583" s="64" t="s">
        <v>1448</v>
      </c>
      <c r="B583" s="65" t="s">
        <v>1449</v>
      </c>
      <c r="C583" s="65" t="s">
        <v>23</v>
      </c>
      <c r="D583" s="72" t="s">
        <v>1450</v>
      </c>
      <c r="E583" s="65" t="s">
        <v>48</v>
      </c>
      <c r="F583" s="65">
        <v>1</v>
      </c>
      <c r="G583" s="89"/>
      <c r="H583" s="89"/>
      <c r="I583" s="89"/>
      <c r="J583" s="68"/>
      <c r="K583" s="89"/>
      <c r="L583" s="90"/>
      <c r="M583" s="20"/>
      <c r="N583" s="90"/>
      <c r="O583" s="90"/>
      <c r="P583" s="76"/>
      <c r="Q583" s="90"/>
      <c r="R583" s="89"/>
      <c r="S583" s="95"/>
    </row>
    <row r="584" spans="1:19" ht="63.75">
      <c r="A584" s="64" t="s">
        <v>1451</v>
      </c>
      <c r="B584" s="65" t="s">
        <v>1452</v>
      </c>
      <c r="C584" s="65" t="s">
        <v>133</v>
      </c>
      <c r="D584" s="72" t="s">
        <v>1453</v>
      </c>
      <c r="E584" s="65" t="s">
        <v>253</v>
      </c>
      <c r="F584" s="65">
        <v>2</v>
      </c>
      <c r="G584" s="89"/>
      <c r="H584" s="89"/>
      <c r="I584" s="89"/>
      <c r="J584" s="68"/>
      <c r="K584" s="89"/>
      <c r="L584" s="90"/>
      <c r="M584" s="20"/>
      <c r="N584" s="90"/>
      <c r="O584" s="90"/>
      <c r="P584" s="76"/>
      <c r="Q584" s="90"/>
      <c r="R584" s="89"/>
      <c r="S584" s="95"/>
    </row>
    <row r="585" spans="1:19" ht="63.75">
      <c r="A585" s="64" t="s">
        <v>1454</v>
      </c>
      <c r="B585" s="65" t="s">
        <v>1455</v>
      </c>
      <c r="C585" s="65" t="s">
        <v>133</v>
      </c>
      <c r="D585" s="72" t="s">
        <v>1456</v>
      </c>
      <c r="E585" s="65" t="s">
        <v>253</v>
      </c>
      <c r="F585" s="65">
        <v>2</v>
      </c>
      <c r="G585" s="89"/>
      <c r="H585" s="89"/>
      <c r="I585" s="89"/>
      <c r="J585" s="68"/>
      <c r="K585" s="89"/>
      <c r="L585" s="90"/>
      <c r="M585" s="20"/>
      <c r="N585" s="90"/>
      <c r="O585" s="90"/>
      <c r="P585" s="76"/>
      <c r="Q585" s="90"/>
      <c r="R585" s="89"/>
      <c r="S585" s="95"/>
    </row>
    <row r="586" spans="1:19" ht="51">
      <c r="A586" s="64" t="s">
        <v>1457</v>
      </c>
      <c r="B586" s="65" t="s">
        <v>1458</v>
      </c>
      <c r="C586" s="65" t="s">
        <v>133</v>
      </c>
      <c r="D586" s="72" t="s">
        <v>1459</v>
      </c>
      <c r="E586" s="65" t="s">
        <v>253</v>
      </c>
      <c r="F586" s="65">
        <v>14</v>
      </c>
      <c r="G586" s="89"/>
      <c r="H586" s="89"/>
      <c r="I586" s="89"/>
      <c r="J586" s="68"/>
      <c r="K586" s="89"/>
      <c r="L586" s="90"/>
      <c r="M586" s="20"/>
      <c r="N586" s="90"/>
      <c r="O586" s="90"/>
      <c r="P586" s="76"/>
      <c r="Q586" s="90"/>
      <c r="R586" s="89"/>
      <c r="S586" s="95"/>
    </row>
    <row r="587" spans="1:19" ht="51">
      <c r="A587" s="64" t="s">
        <v>1460</v>
      </c>
      <c r="B587" s="65" t="s">
        <v>829</v>
      </c>
      <c r="C587" s="65" t="s">
        <v>23</v>
      </c>
      <c r="D587" s="72" t="s">
        <v>830</v>
      </c>
      <c r="E587" s="65" t="s">
        <v>107</v>
      </c>
      <c r="F587" s="65">
        <v>22</v>
      </c>
      <c r="G587" s="89"/>
      <c r="H587" s="89"/>
      <c r="I587" s="89"/>
      <c r="J587" s="68"/>
      <c r="K587" s="89"/>
      <c r="L587" s="90"/>
      <c r="M587" s="20"/>
      <c r="N587" s="90"/>
      <c r="O587" s="90"/>
      <c r="P587" s="76"/>
      <c r="Q587" s="90"/>
      <c r="R587" s="89"/>
      <c r="S587" s="95"/>
    </row>
    <row r="588" spans="1:19" ht="25.5">
      <c r="A588" s="64" t="s">
        <v>1461</v>
      </c>
      <c r="B588" s="65" t="s">
        <v>1462</v>
      </c>
      <c r="C588" s="65" t="s">
        <v>23</v>
      </c>
      <c r="D588" s="72" t="s">
        <v>1463</v>
      </c>
      <c r="E588" s="65" t="s">
        <v>25</v>
      </c>
      <c r="F588" s="65">
        <v>1.5</v>
      </c>
      <c r="G588" s="89"/>
      <c r="H588" s="89"/>
      <c r="I588" s="89"/>
      <c r="J588" s="68"/>
      <c r="K588" s="89"/>
      <c r="L588" s="90"/>
      <c r="M588" s="20"/>
      <c r="N588" s="90"/>
      <c r="O588" s="90"/>
      <c r="P588" s="76"/>
      <c r="Q588" s="90"/>
      <c r="R588" s="89"/>
      <c r="S588" s="95"/>
    </row>
    <row r="589" spans="1:19" ht="51">
      <c r="A589" s="64" t="s">
        <v>1464</v>
      </c>
      <c r="B589" s="65" t="s">
        <v>1465</v>
      </c>
      <c r="C589" s="65" t="s">
        <v>133</v>
      </c>
      <c r="D589" s="72" t="s">
        <v>1466</v>
      </c>
      <c r="E589" s="65" t="s">
        <v>253</v>
      </c>
      <c r="F589" s="65">
        <v>8</v>
      </c>
      <c r="G589" s="89"/>
      <c r="H589" s="89"/>
      <c r="I589" s="89"/>
      <c r="J589" s="68"/>
      <c r="K589" s="89"/>
      <c r="L589" s="90"/>
      <c r="M589" s="20"/>
      <c r="N589" s="90"/>
      <c r="O589" s="90"/>
      <c r="P589" s="76"/>
      <c r="Q589" s="90"/>
      <c r="R589" s="89"/>
      <c r="S589" s="95"/>
    </row>
    <row r="590" spans="1:19" ht="25.5">
      <c r="A590" s="64" t="s">
        <v>1467</v>
      </c>
      <c r="B590" s="65" t="s">
        <v>1468</v>
      </c>
      <c r="C590" s="65" t="s">
        <v>200</v>
      </c>
      <c r="D590" s="72" t="s">
        <v>1469</v>
      </c>
      <c r="E590" s="65" t="s">
        <v>253</v>
      </c>
      <c r="F590" s="65">
        <v>1</v>
      </c>
      <c r="G590" s="89"/>
      <c r="H590" s="89"/>
      <c r="I590" s="89"/>
      <c r="J590" s="68"/>
      <c r="K590" s="89"/>
      <c r="L590" s="90"/>
      <c r="M590" s="20"/>
      <c r="N590" s="90"/>
      <c r="O590" s="90"/>
      <c r="P590" s="76"/>
      <c r="Q590" s="90"/>
      <c r="R590" s="89"/>
      <c r="S590" s="95"/>
    </row>
    <row r="591" spans="1:19" ht="51">
      <c r="A591" s="64" t="s">
        <v>1470</v>
      </c>
      <c r="B591" s="65" t="s">
        <v>1471</v>
      </c>
      <c r="C591" s="65" t="s">
        <v>23</v>
      </c>
      <c r="D591" s="72" t="s">
        <v>1472</v>
      </c>
      <c r="E591" s="65" t="s">
        <v>25</v>
      </c>
      <c r="F591" s="65">
        <v>2</v>
      </c>
      <c r="G591" s="89"/>
      <c r="H591" s="89"/>
      <c r="I591" s="89"/>
      <c r="J591" s="68"/>
      <c r="K591" s="89"/>
      <c r="L591" s="90"/>
      <c r="M591" s="20"/>
      <c r="N591" s="90"/>
      <c r="O591" s="90"/>
      <c r="P591" s="76"/>
      <c r="Q591" s="90"/>
      <c r="R591" s="89"/>
      <c r="S591" s="95"/>
    </row>
    <row r="592" spans="1:19" ht="15">
      <c r="A592" s="64" t="s">
        <v>1473</v>
      </c>
      <c r="B592" s="65" t="s">
        <v>1474</v>
      </c>
      <c r="C592" s="65" t="s">
        <v>23</v>
      </c>
      <c r="D592" s="72" t="s">
        <v>1475</v>
      </c>
      <c r="E592" s="65" t="s">
        <v>38</v>
      </c>
      <c r="F592" s="65">
        <v>2.5</v>
      </c>
      <c r="G592" s="89"/>
      <c r="H592" s="89"/>
      <c r="I592" s="89"/>
      <c r="J592" s="68"/>
      <c r="K592" s="89"/>
      <c r="L592" s="90"/>
      <c r="M592" s="20"/>
      <c r="N592" s="90"/>
      <c r="O592" s="90"/>
      <c r="P592" s="76"/>
      <c r="Q592" s="90"/>
      <c r="R592" s="89"/>
      <c r="S592" s="95"/>
    </row>
    <row r="593" spans="1:19" ht="15">
      <c r="A593" s="64" t="s">
        <v>1476</v>
      </c>
      <c r="B593" s="65" t="s">
        <v>1477</v>
      </c>
      <c r="C593" s="65" t="s">
        <v>6</v>
      </c>
      <c r="D593" s="72" t="s">
        <v>1478</v>
      </c>
      <c r="E593" s="65" t="s">
        <v>253</v>
      </c>
      <c r="F593" s="65">
        <v>3</v>
      </c>
      <c r="G593" s="89"/>
      <c r="H593" s="89"/>
      <c r="I593" s="89"/>
      <c r="J593" s="68"/>
      <c r="K593" s="89"/>
      <c r="L593" s="90"/>
      <c r="M593" s="20"/>
      <c r="N593" s="90"/>
      <c r="O593" s="90"/>
      <c r="P593" s="76"/>
      <c r="Q593" s="90"/>
      <c r="R593" s="89"/>
      <c r="S593" s="95"/>
    </row>
    <row r="594" spans="1:19" ht="25.5">
      <c r="A594" s="64" t="s">
        <v>1479</v>
      </c>
      <c r="B594" s="65" t="s">
        <v>1480</v>
      </c>
      <c r="C594" s="65" t="s">
        <v>133</v>
      </c>
      <c r="D594" s="72" t="s">
        <v>1481</v>
      </c>
      <c r="E594" s="65" t="s">
        <v>253</v>
      </c>
      <c r="F594" s="65">
        <v>2</v>
      </c>
      <c r="G594" s="89"/>
      <c r="H594" s="89"/>
      <c r="I594" s="89"/>
      <c r="J594" s="68"/>
      <c r="K594" s="89"/>
      <c r="L594" s="90"/>
      <c r="M594" s="20"/>
      <c r="N594" s="90"/>
      <c r="O594" s="90"/>
      <c r="P594" s="76"/>
      <c r="Q594" s="90"/>
      <c r="R594" s="89"/>
      <c r="S594" s="95"/>
    </row>
    <row r="595" spans="1:19" ht="15">
      <c r="A595" s="64" t="s">
        <v>1482</v>
      </c>
      <c r="B595" s="65" t="s">
        <v>1483</v>
      </c>
      <c r="C595" s="65" t="s">
        <v>6</v>
      </c>
      <c r="D595" s="72" t="s">
        <v>1484</v>
      </c>
      <c r="E595" s="65" t="s">
        <v>253</v>
      </c>
      <c r="F595" s="65">
        <v>2</v>
      </c>
      <c r="G595" s="89"/>
      <c r="H595" s="89"/>
      <c r="I595" s="89"/>
      <c r="J595" s="68"/>
      <c r="K595" s="89"/>
      <c r="L595" s="90"/>
      <c r="M595" s="20"/>
      <c r="N595" s="90"/>
      <c r="O595" s="90"/>
      <c r="P595" s="76"/>
      <c r="Q595" s="90"/>
      <c r="R595" s="89"/>
      <c r="S595" s="95"/>
    </row>
    <row r="596" spans="1:19" ht="51">
      <c r="A596" s="64" t="s">
        <v>1485</v>
      </c>
      <c r="B596" s="65" t="s">
        <v>1486</v>
      </c>
      <c r="C596" s="65" t="s">
        <v>133</v>
      </c>
      <c r="D596" s="72" t="s">
        <v>1487</v>
      </c>
      <c r="E596" s="65" t="s">
        <v>253</v>
      </c>
      <c r="F596" s="65">
        <v>2</v>
      </c>
      <c r="G596" s="89"/>
      <c r="H596" s="89"/>
      <c r="I596" s="89"/>
      <c r="J596" s="68"/>
      <c r="K596" s="89"/>
      <c r="L596" s="90"/>
      <c r="M596" s="20"/>
      <c r="N596" s="90"/>
      <c r="O596" s="90"/>
      <c r="P596" s="76"/>
      <c r="Q596" s="90"/>
      <c r="R596" s="89"/>
      <c r="S596" s="95"/>
    </row>
    <row r="597" spans="1:19" ht="51">
      <c r="A597" s="64" t="s">
        <v>1488</v>
      </c>
      <c r="B597" s="65" t="s">
        <v>1489</v>
      </c>
      <c r="C597" s="65" t="s">
        <v>133</v>
      </c>
      <c r="D597" s="72" t="s">
        <v>1490</v>
      </c>
      <c r="E597" s="65" t="s">
        <v>193</v>
      </c>
      <c r="F597" s="65">
        <v>35</v>
      </c>
      <c r="G597" s="89"/>
      <c r="H597" s="89"/>
      <c r="I597" s="89"/>
      <c r="J597" s="68"/>
      <c r="K597" s="89"/>
      <c r="L597" s="90"/>
      <c r="M597" s="20"/>
      <c r="N597" s="90"/>
      <c r="O597" s="90"/>
      <c r="P597" s="76"/>
      <c r="Q597" s="90"/>
      <c r="R597" s="89"/>
      <c r="S597" s="95"/>
    </row>
    <row r="598" spans="1:19">
      <c r="A598" s="60" t="s">
        <v>1491</v>
      </c>
      <c r="B598" s="21"/>
      <c r="C598" s="21"/>
      <c r="D598" s="61" t="s">
        <v>1492</v>
      </c>
      <c r="E598" s="21"/>
      <c r="F598" s="21"/>
      <c r="G598" s="89"/>
      <c r="H598" s="89"/>
      <c r="I598" s="89"/>
      <c r="J598" s="91"/>
      <c r="K598" s="91"/>
      <c r="L598" s="92"/>
      <c r="M598" s="12"/>
      <c r="N598" s="92"/>
      <c r="O598" s="92"/>
      <c r="P598" s="93"/>
      <c r="Q598" s="92"/>
      <c r="R598" s="91"/>
      <c r="S598" s="94"/>
    </row>
    <row r="599" spans="1:19">
      <c r="A599" s="60" t="s">
        <v>1493</v>
      </c>
      <c r="B599" s="21"/>
      <c r="C599" s="21"/>
      <c r="D599" s="61" t="s">
        <v>1494</v>
      </c>
      <c r="E599" s="21"/>
      <c r="F599" s="21"/>
      <c r="G599" s="89"/>
      <c r="H599" s="89"/>
      <c r="I599" s="89"/>
      <c r="J599" s="91"/>
      <c r="K599" s="91"/>
      <c r="L599" s="92"/>
      <c r="M599" s="12"/>
      <c r="N599" s="92"/>
      <c r="O599" s="92"/>
      <c r="P599" s="93"/>
      <c r="Q599" s="92"/>
      <c r="R599" s="91"/>
      <c r="S599" s="94"/>
    </row>
    <row r="600" spans="1:19" ht="25.5">
      <c r="A600" s="64" t="s">
        <v>1495</v>
      </c>
      <c r="B600" s="65" t="s">
        <v>1496</v>
      </c>
      <c r="C600" s="65" t="s">
        <v>23</v>
      </c>
      <c r="D600" s="72" t="s">
        <v>1497</v>
      </c>
      <c r="E600" s="65" t="s">
        <v>48</v>
      </c>
      <c r="F600" s="65">
        <v>7</v>
      </c>
      <c r="G600" s="89"/>
      <c r="H600" s="89"/>
      <c r="I600" s="89"/>
      <c r="J600" s="68"/>
      <c r="K600" s="89"/>
      <c r="L600" s="90"/>
      <c r="M600" s="20"/>
      <c r="N600" s="90"/>
      <c r="O600" s="90"/>
      <c r="P600" s="76"/>
      <c r="Q600" s="90"/>
      <c r="R600" s="89"/>
      <c r="S600" s="95"/>
    </row>
    <row r="601" spans="1:19" ht="25.5">
      <c r="A601" s="64" t="s">
        <v>1498</v>
      </c>
      <c r="B601" s="65" t="s">
        <v>1499</v>
      </c>
      <c r="C601" s="65" t="s">
        <v>23</v>
      </c>
      <c r="D601" s="72" t="s">
        <v>1500</v>
      </c>
      <c r="E601" s="65" t="s">
        <v>48</v>
      </c>
      <c r="F601" s="65">
        <v>19</v>
      </c>
      <c r="G601" s="89"/>
      <c r="H601" s="89"/>
      <c r="I601" s="89"/>
      <c r="J601" s="68"/>
      <c r="K601" s="89"/>
      <c r="L601" s="90"/>
      <c r="M601" s="20">
        <v>1</v>
      </c>
      <c r="N601" s="90"/>
      <c r="O601" s="90"/>
      <c r="P601" s="70" t="s">
        <v>1972</v>
      </c>
      <c r="Q601" s="68">
        <f>F601</f>
        <v>19</v>
      </c>
      <c r="R601" s="89" t="s">
        <v>2205</v>
      </c>
      <c r="S601" s="71">
        <f>F601+J601-K601+M601</f>
        <v>20</v>
      </c>
    </row>
    <row r="602" spans="1:19" ht="25.5">
      <c r="A602" s="64" t="s">
        <v>1501</v>
      </c>
      <c r="B602" s="65" t="s">
        <v>1502</v>
      </c>
      <c r="C602" s="65" t="s">
        <v>23</v>
      </c>
      <c r="D602" s="72" t="s">
        <v>1503</v>
      </c>
      <c r="E602" s="65" t="s">
        <v>48</v>
      </c>
      <c r="F602" s="65">
        <v>24</v>
      </c>
      <c r="G602" s="89"/>
      <c r="H602" s="89"/>
      <c r="I602" s="89"/>
      <c r="J602" s="68"/>
      <c r="K602" s="89"/>
      <c r="L602" s="90"/>
      <c r="M602" s="20">
        <v>2</v>
      </c>
      <c r="N602" s="90"/>
      <c r="O602" s="90"/>
      <c r="P602" s="70" t="s">
        <v>1972</v>
      </c>
      <c r="Q602" s="68">
        <f>F602</f>
        <v>24</v>
      </c>
      <c r="R602" s="89" t="s">
        <v>2206</v>
      </c>
      <c r="S602" s="71">
        <f>F602+J602-K602+M602</f>
        <v>26</v>
      </c>
    </row>
    <row r="603" spans="1:19" ht="38.25">
      <c r="A603" s="64" t="s">
        <v>1504</v>
      </c>
      <c r="B603" s="65" t="s">
        <v>1505</v>
      </c>
      <c r="C603" s="65" t="s">
        <v>133</v>
      </c>
      <c r="D603" s="72" t="s">
        <v>1506</v>
      </c>
      <c r="E603" s="65" t="s">
        <v>253</v>
      </c>
      <c r="F603" s="65">
        <v>4</v>
      </c>
      <c r="G603" s="89"/>
      <c r="H603" s="89"/>
      <c r="I603" s="89"/>
      <c r="J603" s="68"/>
      <c r="K603" s="89"/>
      <c r="L603" s="90"/>
      <c r="M603" s="20"/>
      <c r="N603" s="90"/>
      <c r="O603" s="90"/>
      <c r="P603" s="76"/>
      <c r="Q603" s="90"/>
      <c r="R603" s="89"/>
      <c r="S603" s="95"/>
    </row>
    <row r="604" spans="1:19">
      <c r="A604" s="60" t="s">
        <v>1507</v>
      </c>
      <c r="B604" s="21"/>
      <c r="C604" s="21"/>
      <c r="D604" s="61" t="s">
        <v>1508</v>
      </c>
      <c r="E604" s="21"/>
      <c r="F604" s="21"/>
      <c r="G604" s="89"/>
      <c r="H604" s="89"/>
      <c r="I604" s="89"/>
      <c r="J604" s="91"/>
      <c r="K604" s="91"/>
      <c r="L604" s="92"/>
      <c r="M604" s="12"/>
      <c r="N604" s="92"/>
      <c r="O604" s="92"/>
      <c r="P604" s="93"/>
      <c r="Q604" s="92"/>
      <c r="R604" s="91"/>
      <c r="S604" s="94"/>
    </row>
    <row r="605" spans="1:19" ht="15">
      <c r="A605" s="64" t="s">
        <v>1509</v>
      </c>
      <c r="B605" s="65" t="s">
        <v>1510</v>
      </c>
      <c r="C605" s="65" t="s">
        <v>23</v>
      </c>
      <c r="D605" s="72" t="s">
        <v>1511</v>
      </c>
      <c r="E605" s="65" t="s">
        <v>25</v>
      </c>
      <c r="F605" s="65">
        <v>50.7</v>
      </c>
      <c r="G605" s="89"/>
      <c r="H605" s="89"/>
      <c r="I605" s="89"/>
      <c r="J605" s="68">
        <v>49.8</v>
      </c>
      <c r="K605" s="89"/>
      <c r="L605" s="90"/>
      <c r="M605" s="20">
        <v>10.77</v>
      </c>
      <c r="N605" s="90"/>
      <c r="O605" s="90"/>
      <c r="P605" s="70" t="s">
        <v>1972</v>
      </c>
      <c r="Q605" s="68">
        <f>F605</f>
        <v>50.7</v>
      </c>
      <c r="R605" s="76" t="s">
        <v>2207</v>
      </c>
      <c r="S605" s="71">
        <f>F605+J605-K605+M605</f>
        <v>111.27</v>
      </c>
    </row>
    <row r="606" spans="1:19">
      <c r="A606" s="60" t="s">
        <v>1512</v>
      </c>
      <c r="B606" s="21"/>
      <c r="C606" s="21"/>
      <c r="D606" s="61" t="s">
        <v>1513</v>
      </c>
      <c r="E606" s="21"/>
      <c r="F606" s="21"/>
      <c r="G606" s="89"/>
      <c r="H606" s="89"/>
      <c r="I606" s="89"/>
      <c r="J606" s="91"/>
      <c r="K606" s="91"/>
      <c r="L606" s="92"/>
      <c r="M606" s="12"/>
      <c r="N606" s="92"/>
      <c r="O606" s="92"/>
      <c r="P606" s="93"/>
      <c r="Q606" s="92"/>
      <c r="R606" s="91"/>
      <c r="S606" s="94"/>
    </row>
    <row r="607" spans="1:19" ht="25.5">
      <c r="A607" s="64" t="s">
        <v>1514</v>
      </c>
      <c r="B607" s="65" t="s">
        <v>1515</v>
      </c>
      <c r="C607" s="65" t="s">
        <v>23</v>
      </c>
      <c r="D607" s="72" t="s">
        <v>1516</v>
      </c>
      <c r="E607" s="65" t="s">
        <v>48</v>
      </c>
      <c r="F607" s="65">
        <v>19</v>
      </c>
      <c r="G607" s="89"/>
      <c r="H607" s="89"/>
      <c r="I607" s="89"/>
      <c r="J607" s="68"/>
      <c r="K607" s="89"/>
      <c r="L607" s="90"/>
      <c r="M607" s="20"/>
      <c r="N607" s="90"/>
      <c r="O607" s="90"/>
      <c r="P607" s="76"/>
      <c r="Q607" s="90"/>
      <c r="R607" s="89"/>
      <c r="S607" s="95"/>
    </row>
    <row r="608" spans="1:19" ht="25.5">
      <c r="A608" s="64" t="s">
        <v>1517</v>
      </c>
      <c r="B608" s="65" t="s">
        <v>1518</v>
      </c>
      <c r="C608" s="65" t="s">
        <v>23</v>
      </c>
      <c r="D608" s="72" t="s">
        <v>1519</v>
      </c>
      <c r="E608" s="65" t="s">
        <v>48</v>
      </c>
      <c r="F608" s="65">
        <v>5</v>
      </c>
      <c r="G608" s="89"/>
      <c r="H608" s="89"/>
      <c r="I608" s="89"/>
      <c r="J608" s="68"/>
      <c r="K608" s="89"/>
      <c r="L608" s="90"/>
      <c r="M608" s="20"/>
      <c r="N608" s="90"/>
      <c r="O608" s="90"/>
      <c r="P608" s="76"/>
      <c r="Q608" s="90"/>
      <c r="R608" s="89"/>
      <c r="S608" s="95"/>
    </row>
    <row r="609" spans="1:19" ht="25.5">
      <c r="A609" s="64" t="s">
        <v>1520</v>
      </c>
      <c r="B609" s="65" t="s">
        <v>1521</v>
      </c>
      <c r="C609" s="65" t="s">
        <v>23</v>
      </c>
      <c r="D609" s="72" t="s">
        <v>1522</v>
      </c>
      <c r="E609" s="65" t="s">
        <v>48</v>
      </c>
      <c r="F609" s="65">
        <v>8</v>
      </c>
      <c r="G609" s="89"/>
      <c r="H609" s="89"/>
      <c r="I609" s="89"/>
      <c r="J609" s="68"/>
      <c r="K609" s="89"/>
      <c r="L609" s="90"/>
      <c r="M609" s="20"/>
      <c r="N609" s="90"/>
      <c r="O609" s="90"/>
      <c r="P609" s="76"/>
      <c r="Q609" s="90"/>
      <c r="R609" s="89"/>
      <c r="S609" s="95"/>
    </row>
    <row r="610" spans="1:19" ht="25.5">
      <c r="A610" s="64" t="s">
        <v>1523</v>
      </c>
      <c r="B610" s="65" t="s">
        <v>1524</v>
      </c>
      <c r="C610" s="65" t="s">
        <v>23</v>
      </c>
      <c r="D610" s="72" t="s">
        <v>1525</v>
      </c>
      <c r="E610" s="65" t="s">
        <v>48</v>
      </c>
      <c r="F610" s="65">
        <v>4</v>
      </c>
      <c r="G610" s="89"/>
      <c r="H610" s="89"/>
      <c r="I610" s="89"/>
      <c r="J610" s="68"/>
      <c r="K610" s="89"/>
      <c r="L610" s="90"/>
      <c r="M610" s="20"/>
      <c r="N610" s="90"/>
      <c r="O610" s="90"/>
      <c r="P610" s="76"/>
      <c r="Q610" s="90"/>
      <c r="R610" s="89"/>
      <c r="S610" s="95"/>
    </row>
    <row r="611" spans="1:19" ht="25.5">
      <c r="A611" s="64" t="s">
        <v>1526</v>
      </c>
      <c r="B611" s="65" t="s">
        <v>1527</v>
      </c>
      <c r="C611" s="65" t="s">
        <v>23</v>
      </c>
      <c r="D611" s="72" t="s">
        <v>1528</v>
      </c>
      <c r="E611" s="65" t="s">
        <v>48</v>
      </c>
      <c r="F611" s="65">
        <v>4</v>
      </c>
      <c r="G611" s="89"/>
      <c r="H611" s="89"/>
      <c r="I611" s="89"/>
      <c r="J611" s="68"/>
      <c r="K611" s="89"/>
      <c r="L611" s="90"/>
      <c r="M611" s="20"/>
      <c r="N611" s="90"/>
      <c r="O611" s="90"/>
      <c r="P611" s="76"/>
      <c r="Q611" s="90"/>
      <c r="R611" s="89"/>
      <c r="S611" s="95"/>
    </row>
    <row r="612" spans="1:19">
      <c r="A612" s="60" t="s">
        <v>1529</v>
      </c>
      <c r="B612" s="21"/>
      <c r="C612" s="21"/>
      <c r="D612" s="61" t="s">
        <v>1530</v>
      </c>
      <c r="E612" s="21"/>
      <c r="F612" s="21"/>
      <c r="G612" s="89"/>
      <c r="H612" s="89"/>
      <c r="I612" s="89"/>
      <c r="J612" s="91"/>
      <c r="K612" s="91"/>
      <c r="L612" s="92"/>
      <c r="M612" s="12"/>
      <c r="N612" s="92"/>
      <c r="O612" s="92"/>
      <c r="P612" s="93"/>
      <c r="Q612" s="92"/>
      <c r="R612" s="91"/>
      <c r="S612" s="94"/>
    </row>
    <row r="613" spans="1:19" ht="25.5">
      <c r="A613" s="64" t="s">
        <v>1531</v>
      </c>
      <c r="B613" s="65" t="s">
        <v>1532</v>
      </c>
      <c r="C613" s="65" t="s">
        <v>23</v>
      </c>
      <c r="D613" s="72" t="s">
        <v>1533</v>
      </c>
      <c r="E613" s="65" t="s">
        <v>48</v>
      </c>
      <c r="F613" s="65">
        <v>1</v>
      </c>
      <c r="G613" s="89"/>
      <c r="H613" s="89"/>
      <c r="I613" s="89"/>
      <c r="J613" s="68"/>
      <c r="K613" s="89"/>
      <c r="L613" s="90"/>
      <c r="M613" s="20"/>
      <c r="N613" s="90"/>
      <c r="O613" s="90"/>
      <c r="P613" s="76"/>
      <c r="Q613" s="90"/>
      <c r="R613" s="89"/>
      <c r="S613" s="95"/>
    </row>
    <row r="614" spans="1:19" ht="38.25">
      <c r="A614" s="64" t="s">
        <v>1534</v>
      </c>
      <c r="B614" s="65" t="s">
        <v>1535</v>
      </c>
      <c r="C614" s="65" t="s">
        <v>23</v>
      </c>
      <c r="D614" s="72" t="s">
        <v>1536</v>
      </c>
      <c r="E614" s="65" t="s">
        <v>48</v>
      </c>
      <c r="F614" s="65">
        <v>28</v>
      </c>
      <c r="G614" s="89"/>
      <c r="H614" s="89"/>
      <c r="I614" s="89"/>
      <c r="J614" s="68"/>
      <c r="K614" s="89"/>
      <c r="L614" s="90"/>
      <c r="M614" s="20">
        <v>3</v>
      </c>
      <c r="N614" s="90"/>
      <c r="O614" s="90"/>
      <c r="P614" s="70" t="s">
        <v>1972</v>
      </c>
      <c r="Q614" s="68">
        <f>F614</f>
        <v>28</v>
      </c>
      <c r="R614" s="89" t="s">
        <v>2208</v>
      </c>
      <c r="S614" s="71">
        <f>F614+J614-K614+M614</f>
        <v>31</v>
      </c>
    </row>
    <row r="615" spans="1:19" ht="51">
      <c r="A615" s="64" t="s">
        <v>1537</v>
      </c>
      <c r="B615" s="65" t="s">
        <v>1538</v>
      </c>
      <c r="C615" s="65" t="s">
        <v>23</v>
      </c>
      <c r="D615" s="72" t="s">
        <v>1539</v>
      </c>
      <c r="E615" s="65" t="s">
        <v>48</v>
      </c>
      <c r="F615" s="65">
        <v>8</v>
      </c>
      <c r="G615" s="89"/>
      <c r="H615" s="89"/>
      <c r="I615" s="89"/>
      <c r="J615" s="68"/>
      <c r="K615" s="89"/>
      <c r="L615" s="90"/>
      <c r="M615" s="20">
        <v>1</v>
      </c>
      <c r="N615" s="90"/>
      <c r="O615" s="90"/>
      <c r="P615" s="70" t="s">
        <v>1972</v>
      </c>
      <c r="Q615" s="68">
        <f>F615</f>
        <v>8</v>
      </c>
      <c r="R615" s="89" t="s">
        <v>2209</v>
      </c>
      <c r="S615" s="71">
        <f>F615+J615-K615+M615</f>
        <v>9</v>
      </c>
    </row>
    <row r="616" spans="1:19" ht="25.5">
      <c r="A616" s="64" t="s">
        <v>1540</v>
      </c>
      <c r="B616" s="65" t="s">
        <v>1541</v>
      </c>
      <c r="C616" s="65" t="s">
        <v>23</v>
      </c>
      <c r="D616" s="72" t="s">
        <v>1542</v>
      </c>
      <c r="E616" s="65" t="s">
        <v>48</v>
      </c>
      <c r="F616" s="65">
        <v>24</v>
      </c>
      <c r="G616" s="89"/>
      <c r="H616" s="89"/>
      <c r="I616" s="89"/>
      <c r="J616" s="68"/>
      <c r="K616" s="89"/>
      <c r="L616" s="90"/>
      <c r="M616" s="20"/>
      <c r="N616" s="90"/>
      <c r="O616" s="90"/>
      <c r="P616" s="76"/>
      <c r="Q616" s="90"/>
      <c r="R616" s="89"/>
      <c r="S616" s="95"/>
    </row>
    <row r="617" spans="1:19" ht="25.5">
      <c r="A617" s="64" t="s">
        <v>1543</v>
      </c>
      <c r="B617" s="65" t="s">
        <v>1544</v>
      </c>
      <c r="C617" s="65" t="s">
        <v>200</v>
      </c>
      <c r="D617" s="72" t="s">
        <v>1545</v>
      </c>
      <c r="E617" s="65" t="s">
        <v>202</v>
      </c>
      <c r="F617" s="65">
        <v>6</v>
      </c>
      <c r="G617" s="89"/>
      <c r="H617" s="89"/>
      <c r="I617" s="89"/>
      <c r="J617" s="68"/>
      <c r="K617" s="89"/>
      <c r="L617" s="90"/>
      <c r="M617" s="20"/>
      <c r="N617" s="90"/>
      <c r="O617" s="90"/>
      <c r="P617" s="76"/>
      <c r="Q617" s="90"/>
      <c r="R617" s="89"/>
      <c r="S617" s="95"/>
    </row>
    <row r="618" spans="1:19" ht="25.5">
      <c r="A618" s="64" t="s">
        <v>1546</v>
      </c>
      <c r="B618" s="65" t="s">
        <v>1547</v>
      </c>
      <c r="C618" s="65" t="s">
        <v>200</v>
      </c>
      <c r="D618" s="72" t="s">
        <v>1548</v>
      </c>
      <c r="E618" s="65" t="s">
        <v>1549</v>
      </c>
      <c r="F618" s="65">
        <v>38</v>
      </c>
      <c r="G618" s="89"/>
      <c r="H618" s="89"/>
      <c r="I618" s="89"/>
      <c r="J618" s="68"/>
      <c r="K618" s="89"/>
      <c r="L618" s="90"/>
      <c r="M618" s="20"/>
      <c r="N618" s="90"/>
      <c r="O618" s="90"/>
      <c r="P618" s="76"/>
      <c r="Q618" s="90"/>
      <c r="R618" s="89"/>
      <c r="S618" s="95"/>
    </row>
    <row r="619" spans="1:19" ht="25.5">
      <c r="A619" s="64" t="s">
        <v>1550</v>
      </c>
      <c r="B619" s="65" t="s">
        <v>1551</v>
      </c>
      <c r="C619" s="65" t="s">
        <v>200</v>
      </c>
      <c r="D619" s="72" t="s">
        <v>1552</v>
      </c>
      <c r="E619" s="65" t="s">
        <v>1549</v>
      </c>
      <c r="F619" s="65">
        <v>23</v>
      </c>
      <c r="G619" s="89"/>
      <c r="H619" s="89"/>
      <c r="I619" s="89"/>
      <c r="J619" s="68"/>
      <c r="K619" s="89"/>
      <c r="L619" s="90"/>
      <c r="M619" s="20"/>
      <c r="N619" s="90"/>
      <c r="O619" s="90"/>
      <c r="P619" s="76"/>
      <c r="Q619" s="90"/>
      <c r="R619" s="89"/>
      <c r="S619" s="95"/>
    </row>
    <row r="620" spans="1:19" ht="38.25">
      <c r="A620" s="64" t="s">
        <v>1553</v>
      </c>
      <c r="B620" s="65" t="s">
        <v>1554</v>
      </c>
      <c r="C620" s="65" t="s">
        <v>133</v>
      </c>
      <c r="D620" s="72" t="s">
        <v>1555</v>
      </c>
      <c r="E620" s="65" t="s">
        <v>253</v>
      </c>
      <c r="F620" s="65">
        <v>23</v>
      </c>
      <c r="G620" s="89"/>
      <c r="H620" s="89"/>
      <c r="I620" s="89"/>
      <c r="J620" s="68"/>
      <c r="K620" s="89"/>
      <c r="L620" s="90"/>
      <c r="M620" s="20"/>
      <c r="N620" s="90"/>
      <c r="O620" s="90"/>
      <c r="P620" s="76"/>
      <c r="Q620" s="90"/>
      <c r="R620" s="89"/>
      <c r="S620" s="95"/>
    </row>
    <row r="621" spans="1:19">
      <c r="A621" s="60" t="s">
        <v>1556</v>
      </c>
      <c r="B621" s="21"/>
      <c r="C621" s="21"/>
      <c r="D621" s="61" t="s">
        <v>1557</v>
      </c>
      <c r="E621" s="21"/>
      <c r="F621" s="21"/>
      <c r="G621" s="89"/>
      <c r="H621" s="89"/>
      <c r="I621" s="89"/>
      <c r="J621" s="91"/>
      <c r="K621" s="91"/>
      <c r="L621" s="92"/>
      <c r="M621" s="12"/>
      <c r="N621" s="92"/>
      <c r="O621" s="92"/>
      <c r="P621" s="93"/>
      <c r="Q621" s="92"/>
      <c r="R621" s="91"/>
      <c r="S621" s="94"/>
    </row>
    <row r="622" spans="1:19" ht="25.5">
      <c r="A622" s="64" t="s">
        <v>1558</v>
      </c>
      <c r="B622" s="65" t="s">
        <v>1559</v>
      </c>
      <c r="C622" s="65" t="s">
        <v>23</v>
      </c>
      <c r="D622" s="72" t="s">
        <v>1560</v>
      </c>
      <c r="E622" s="65" t="s">
        <v>48</v>
      </c>
      <c r="F622" s="65">
        <v>8</v>
      </c>
      <c r="G622" s="89"/>
      <c r="H622" s="89"/>
      <c r="I622" s="89"/>
      <c r="J622" s="68"/>
      <c r="K622" s="89"/>
      <c r="L622" s="90"/>
      <c r="M622" s="20"/>
      <c r="N622" s="90"/>
      <c r="O622" s="90"/>
      <c r="P622" s="76"/>
      <c r="Q622" s="90"/>
      <c r="R622" s="89"/>
      <c r="S622" s="95"/>
    </row>
    <row r="623" spans="1:19" ht="25.5">
      <c r="A623" s="64" t="s">
        <v>1561</v>
      </c>
      <c r="B623" s="65" t="s">
        <v>1562</v>
      </c>
      <c r="C623" s="65" t="s">
        <v>23</v>
      </c>
      <c r="D623" s="72" t="s">
        <v>1563</v>
      </c>
      <c r="E623" s="65" t="s">
        <v>48</v>
      </c>
      <c r="F623" s="65">
        <v>8</v>
      </c>
      <c r="G623" s="89"/>
      <c r="H623" s="89"/>
      <c r="I623" s="89"/>
      <c r="J623" s="68"/>
      <c r="K623" s="89"/>
      <c r="L623" s="90"/>
      <c r="M623" s="20"/>
      <c r="N623" s="90"/>
      <c r="O623" s="90"/>
      <c r="P623" s="76"/>
      <c r="Q623" s="90"/>
      <c r="R623" s="89"/>
      <c r="S623" s="95"/>
    </row>
    <row r="624" spans="1:19" ht="38.25">
      <c r="A624" s="64" t="s">
        <v>1564</v>
      </c>
      <c r="B624" s="65" t="s">
        <v>1565</v>
      </c>
      <c r="C624" s="65" t="s">
        <v>23</v>
      </c>
      <c r="D624" s="72" t="s">
        <v>1566</v>
      </c>
      <c r="E624" s="65" t="s">
        <v>48</v>
      </c>
      <c r="F624" s="65">
        <v>4</v>
      </c>
      <c r="G624" s="89"/>
      <c r="H624" s="89"/>
      <c r="I624" s="89"/>
      <c r="J624" s="68"/>
      <c r="K624" s="89"/>
      <c r="L624" s="90"/>
      <c r="M624" s="20"/>
      <c r="N624" s="90"/>
      <c r="O624" s="90"/>
      <c r="P624" s="76"/>
      <c r="Q624" s="90"/>
      <c r="R624" s="89"/>
      <c r="S624" s="95"/>
    </row>
    <row r="625" spans="1:21" ht="63.75">
      <c r="A625" s="64" t="s">
        <v>1567</v>
      </c>
      <c r="B625" s="65" t="s">
        <v>1568</v>
      </c>
      <c r="C625" s="65" t="s">
        <v>23</v>
      </c>
      <c r="D625" s="72" t="s">
        <v>1569</v>
      </c>
      <c r="E625" s="65" t="s">
        <v>48</v>
      </c>
      <c r="F625" s="65">
        <v>4</v>
      </c>
      <c r="G625" s="89"/>
      <c r="H625" s="89"/>
      <c r="I625" s="89"/>
      <c r="J625" s="68"/>
      <c r="K625" s="89"/>
      <c r="L625" s="90"/>
      <c r="M625" s="20">
        <v>1</v>
      </c>
      <c r="N625" s="90"/>
      <c r="O625" s="90"/>
      <c r="P625" s="70" t="s">
        <v>1972</v>
      </c>
      <c r="Q625" s="68">
        <f>F625</f>
        <v>4</v>
      </c>
      <c r="R625" s="89" t="s">
        <v>2210</v>
      </c>
      <c r="S625" s="71">
        <f>F625+J625-K625+M625</f>
        <v>5</v>
      </c>
    </row>
    <row r="626" spans="1:21" ht="38.25">
      <c r="A626" s="64" t="s">
        <v>1570</v>
      </c>
      <c r="B626" s="65" t="s">
        <v>1571</v>
      </c>
      <c r="C626" s="65" t="s">
        <v>23</v>
      </c>
      <c r="D626" s="72" t="s">
        <v>1572</v>
      </c>
      <c r="E626" s="65" t="s">
        <v>48</v>
      </c>
      <c r="F626" s="65">
        <v>4</v>
      </c>
      <c r="G626" s="89"/>
      <c r="H626" s="89"/>
      <c r="I626" s="89"/>
      <c r="J626" s="68"/>
      <c r="K626" s="89"/>
      <c r="L626" s="90"/>
      <c r="M626" s="20">
        <v>1</v>
      </c>
      <c r="N626" s="90"/>
      <c r="O626" s="90"/>
      <c r="P626" s="70" t="s">
        <v>1972</v>
      </c>
      <c r="Q626" s="68">
        <f>F626</f>
        <v>4</v>
      </c>
      <c r="R626" s="89" t="s">
        <v>2210</v>
      </c>
      <c r="S626" s="71">
        <f>F626+J626-K626+M626</f>
        <v>5</v>
      </c>
    </row>
    <row r="627" spans="1:21" ht="51">
      <c r="A627" s="64" t="s">
        <v>1573</v>
      </c>
      <c r="B627" s="65" t="s">
        <v>1574</v>
      </c>
      <c r="C627" s="65" t="s">
        <v>23</v>
      </c>
      <c r="D627" s="72" t="s">
        <v>1575</v>
      </c>
      <c r="E627" s="65" t="s">
        <v>48</v>
      </c>
      <c r="F627" s="65">
        <v>4</v>
      </c>
      <c r="G627" s="89"/>
      <c r="H627" s="89"/>
      <c r="I627" s="89"/>
      <c r="J627" s="68"/>
      <c r="K627" s="89"/>
      <c r="L627" s="90"/>
      <c r="M627" s="20">
        <v>1</v>
      </c>
      <c r="N627" s="90"/>
      <c r="O627" s="90"/>
      <c r="P627" s="70" t="s">
        <v>1972</v>
      </c>
      <c r="Q627" s="68">
        <f>F627</f>
        <v>4</v>
      </c>
      <c r="R627" s="89" t="s">
        <v>2210</v>
      </c>
      <c r="S627" s="71">
        <f>F627+J627-K627+M627</f>
        <v>5</v>
      </c>
    </row>
    <row r="628" spans="1:21">
      <c r="A628" s="60" t="s">
        <v>1576</v>
      </c>
      <c r="B628" s="21"/>
      <c r="C628" s="21"/>
      <c r="D628" s="61" t="s">
        <v>1577</v>
      </c>
      <c r="E628" s="21"/>
      <c r="F628" s="21"/>
      <c r="G628" s="89"/>
      <c r="H628" s="89"/>
      <c r="I628" s="89"/>
      <c r="J628" s="91"/>
      <c r="K628" s="91"/>
      <c r="L628" s="92"/>
      <c r="M628" s="12"/>
      <c r="N628" s="92"/>
      <c r="O628" s="92"/>
      <c r="P628" s="93"/>
      <c r="Q628" s="92"/>
      <c r="R628" s="91"/>
      <c r="S628" s="94"/>
    </row>
    <row r="629" spans="1:21">
      <c r="A629" s="60">
        <v>19</v>
      </c>
      <c r="B629" s="21"/>
      <c r="C629" s="21"/>
      <c r="D629" s="61" t="s">
        <v>1578</v>
      </c>
      <c r="E629" s="21"/>
      <c r="F629" s="21"/>
      <c r="G629" s="89"/>
      <c r="H629" s="89"/>
      <c r="I629" s="89"/>
      <c r="J629" s="91"/>
      <c r="K629" s="91"/>
      <c r="L629" s="92"/>
      <c r="M629" s="12"/>
      <c r="N629" s="92"/>
      <c r="O629" s="92"/>
      <c r="P629" s="93"/>
      <c r="Q629" s="92"/>
      <c r="R629" s="91"/>
      <c r="S629" s="94"/>
    </row>
    <row r="630" spans="1:21">
      <c r="A630" s="60" t="s">
        <v>1579</v>
      </c>
      <c r="B630" s="21"/>
      <c r="C630" s="21"/>
      <c r="D630" s="61" t="s">
        <v>1580</v>
      </c>
      <c r="E630" s="21"/>
      <c r="F630" s="21"/>
      <c r="G630" s="89"/>
      <c r="H630" s="89"/>
      <c r="I630" s="89"/>
      <c r="J630" s="91"/>
      <c r="K630" s="91"/>
      <c r="L630" s="92"/>
      <c r="M630" s="12"/>
      <c r="N630" s="92"/>
      <c r="O630" s="92"/>
      <c r="P630" s="93"/>
      <c r="Q630" s="92"/>
      <c r="R630" s="91"/>
      <c r="S630" s="94"/>
    </row>
    <row r="631" spans="1:21" ht="63.75">
      <c r="A631" s="64" t="s">
        <v>1581</v>
      </c>
      <c r="B631" s="65" t="s">
        <v>1582</v>
      </c>
      <c r="C631" s="65" t="s">
        <v>23</v>
      </c>
      <c r="D631" s="72" t="s">
        <v>1583</v>
      </c>
      <c r="E631" s="65" t="s">
        <v>25</v>
      </c>
      <c r="F631" s="65">
        <v>16517.39</v>
      </c>
      <c r="G631" s="89"/>
      <c r="H631" s="89"/>
      <c r="I631" s="89"/>
      <c r="J631" s="68"/>
      <c r="K631" s="89">
        <v>4159.96</v>
      </c>
      <c r="L631" s="90"/>
      <c r="M631" s="20">
        <v>243.54</v>
      </c>
      <c r="N631" s="90"/>
      <c r="O631" s="90"/>
      <c r="P631" s="70" t="s">
        <v>1972</v>
      </c>
      <c r="Q631" s="68">
        <f>F631</f>
        <v>16517.39</v>
      </c>
      <c r="R631" s="89" t="s">
        <v>2211</v>
      </c>
      <c r="S631" s="71">
        <f>F631+J631-K631+M631</f>
        <v>12600.970000000001</v>
      </c>
    </row>
    <row r="632" spans="1:21" ht="52.9" customHeight="1">
      <c r="A632" s="64" t="s">
        <v>1584</v>
      </c>
      <c r="B632" s="65" t="s">
        <v>1585</v>
      </c>
      <c r="C632" s="65" t="s">
        <v>23</v>
      </c>
      <c r="D632" s="72" t="s">
        <v>1586</v>
      </c>
      <c r="E632" s="65" t="s">
        <v>25</v>
      </c>
      <c r="F632" s="65">
        <v>16517.39</v>
      </c>
      <c r="G632" s="89"/>
      <c r="H632" s="89"/>
      <c r="I632" s="89"/>
      <c r="J632" s="68"/>
      <c r="K632" s="90">
        <v>90.26</v>
      </c>
      <c r="L632" s="90"/>
      <c r="M632" s="20">
        <v>243.54</v>
      </c>
      <c r="N632" s="90"/>
      <c r="O632" s="90"/>
      <c r="P632" s="70" t="s">
        <v>1972</v>
      </c>
      <c r="Q632" s="68">
        <f>F632</f>
        <v>16517.39</v>
      </c>
      <c r="R632" s="76" t="s">
        <v>2212</v>
      </c>
      <c r="S632" s="71">
        <f>F632+J632-K632+M632</f>
        <v>16670.670000000002</v>
      </c>
    </row>
    <row r="633" spans="1:21" ht="25.5">
      <c r="A633" s="60" t="s">
        <v>2213</v>
      </c>
      <c r="B633" s="21"/>
      <c r="C633" s="21"/>
      <c r="D633" s="61" t="s">
        <v>1587</v>
      </c>
      <c r="E633" s="21"/>
      <c r="F633" s="21"/>
      <c r="G633" s="89"/>
      <c r="H633" s="89"/>
      <c r="I633" s="89"/>
      <c r="J633" s="91"/>
      <c r="K633" s="91"/>
      <c r="L633" s="92"/>
      <c r="M633" s="12"/>
      <c r="N633" s="92"/>
      <c r="O633" s="92"/>
      <c r="P633" s="93"/>
      <c r="Q633" s="92"/>
      <c r="R633" s="91"/>
      <c r="S633" s="94"/>
    </row>
    <row r="634" spans="1:21">
      <c r="A634" s="60" t="s">
        <v>1588</v>
      </c>
      <c r="B634" s="21"/>
      <c r="C634" s="21"/>
      <c r="D634" s="61" t="s">
        <v>1589</v>
      </c>
      <c r="E634" s="21"/>
      <c r="F634" s="21"/>
      <c r="G634" s="89"/>
      <c r="H634" s="89"/>
      <c r="I634" s="89"/>
      <c r="J634" s="91"/>
      <c r="K634" s="91"/>
      <c r="L634" s="92"/>
      <c r="M634" s="12"/>
      <c r="N634" s="92"/>
      <c r="O634" s="92"/>
      <c r="P634" s="93"/>
      <c r="Q634" s="92"/>
      <c r="R634" s="91"/>
      <c r="S634" s="94"/>
    </row>
    <row r="635" spans="1:21" ht="63.75">
      <c r="A635" s="64" t="s">
        <v>1590</v>
      </c>
      <c r="B635" s="65" t="s">
        <v>1591</v>
      </c>
      <c r="C635" s="65" t="s">
        <v>23</v>
      </c>
      <c r="D635" s="72" t="s">
        <v>1592</v>
      </c>
      <c r="E635" s="65" t="s">
        <v>25</v>
      </c>
      <c r="F635" s="65">
        <v>224.57</v>
      </c>
      <c r="G635" s="89"/>
      <c r="H635" s="89"/>
      <c r="I635" s="89"/>
      <c r="J635" s="69">
        <v>325.86</v>
      </c>
      <c r="K635" s="89"/>
      <c r="L635" s="90"/>
      <c r="M635" s="20"/>
      <c r="N635" s="90"/>
      <c r="O635" s="90"/>
      <c r="P635" s="76" t="s">
        <v>1996</v>
      </c>
      <c r="Q635" s="90">
        <v>224.57</v>
      </c>
      <c r="R635" s="76" t="s">
        <v>2214</v>
      </c>
      <c r="S635" s="95">
        <f>Q635+325.86</f>
        <v>550.43000000000006</v>
      </c>
    </row>
    <row r="636" spans="1:21" ht="63.75">
      <c r="A636" s="64" t="s">
        <v>1593</v>
      </c>
      <c r="B636" s="65" t="s">
        <v>1594</v>
      </c>
      <c r="C636" s="65" t="s">
        <v>23</v>
      </c>
      <c r="D636" s="72" t="s">
        <v>1595</v>
      </c>
      <c r="E636" s="65" t="s">
        <v>25</v>
      </c>
      <c r="F636" s="65">
        <v>224.57</v>
      </c>
      <c r="G636" s="89"/>
      <c r="H636" s="89"/>
      <c r="I636" s="89"/>
      <c r="J636" s="69">
        <v>325.86</v>
      </c>
      <c r="K636" s="89"/>
      <c r="L636" s="90"/>
      <c r="M636" s="20"/>
      <c r="N636" s="90"/>
      <c r="O636" s="90"/>
      <c r="P636" s="76" t="s">
        <v>1996</v>
      </c>
      <c r="Q636" s="90">
        <v>224.57</v>
      </c>
      <c r="R636" s="76" t="s">
        <v>2214</v>
      </c>
      <c r="S636" s="95">
        <f>Q636+(325.86)</f>
        <v>550.43000000000006</v>
      </c>
    </row>
    <row r="637" spans="1:21">
      <c r="A637" s="60" t="s">
        <v>1596</v>
      </c>
      <c r="B637" s="21"/>
      <c r="C637" s="21"/>
      <c r="D637" s="61" t="s">
        <v>1597</v>
      </c>
      <c r="E637" s="21"/>
      <c r="F637" s="21"/>
      <c r="G637" s="89"/>
      <c r="H637" s="89"/>
      <c r="I637" s="89"/>
      <c r="J637" s="91"/>
      <c r="K637" s="91"/>
      <c r="L637" s="92"/>
      <c r="M637" s="12"/>
      <c r="N637" s="92"/>
      <c r="O637" s="92"/>
      <c r="P637" s="93"/>
      <c r="Q637" s="92"/>
      <c r="R637" s="91"/>
      <c r="S637" s="94"/>
    </row>
    <row r="638" spans="1:21" ht="51">
      <c r="A638" s="100" t="s">
        <v>2215</v>
      </c>
      <c r="B638" s="65">
        <v>190417</v>
      </c>
      <c r="C638" s="65" t="s">
        <v>1810</v>
      </c>
      <c r="D638" s="72" t="s">
        <v>1472</v>
      </c>
      <c r="E638" s="65" t="s">
        <v>25</v>
      </c>
      <c r="F638" s="65">
        <v>113.36</v>
      </c>
      <c r="G638" s="89"/>
      <c r="H638" s="89"/>
      <c r="I638" s="89"/>
      <c r="J638" s="68">
        <v>1006.58</v>
      </c>
      <c r="K638" s="89"/>
      <c r="L638" s="90"/>
      <c r="M638" s="20">
        <v>174.83</v>
      </c>
      <c r="N638" s="90"/>
      <c r="O638" s="90"/>
      <c r="P638" s="70" t="s">
        <v>1972</v>
      </c>
      <c r="Q638" s="68">
        <f>F638</f>
        <v>113.36</v>
      </c>
      <c r="R638" s="76" t="s">
        <v>2216</v>
      </c>
      <c r="S638" s="71">
        <f>F638+J638-K638+M638</f>
        <v>1294.77</v>
      </c>
      <c r="U638" s="47" t="s">
        <v>2217</v>
      </c>
    </row>
    <row r="639" spans="1:21">
      <c r="A639" s="60" t="s">
        <v>1599</v>
      </c>
      <c r="B639" s="21"/>
      <c r="C639" s="21"/>
      <c r="D639" s="61" t="s">
        <v>1600</v>
      </c>
      <c r="E639" s="21"/>
      <c r="F639" s="21"/>
      <c r="G639" s="89"/>
      <c r="H639" s="89"/>
      <c r="I639" s="89"/>
      <c r="J639" s="91"/>
      <c r="K639" s="91"/>
      <c r="L639" s="92"/>
      <c r="M639" s="12"/>
      <c r="N639" s="92"/>
      <c r="O639" s="92"/>
      <c r="P639" s="93"/>
      <c r="Q639" s="92"/>
      <c r="R639" s="91"/>
      <c r="S639" s="94"/>
    </row>
    <row r="640" spans="1:21" ht="25.5">
      <c r="A640" s="64" t="s">
        <v>1601</v>
      </c>
      <c r="B640" s="65" t="s">
        <v>1602</v>
      </c>
      <c r="C640" s="65" t="s">
        <v>23</v>
      </c>
      <c r="D640" s="72" t="s">
        <v>1603</v>
      </c>
      <c r="E640" s="65" t="s">
        <v>25</v>
      </c>
      <c r="F640" s="65">
        <v>166.85</v>
      </c>
      <c r="G640" s="89"/>
      <c r="H640" s="89"/>
      <c r="I640" s="89"/>
      <c r="J640" s="68"/>
      <c r="K640" s="89"/>
      <c r="L640" s="90"/>
      <c r="M640" s="20">
        <f>378.6+218.7+350.7+79.2+60</f>
        <v>1087.2</v>
      </c>
      <c r="N640" s="90"/>
      <c r="O640" s="90"/>
      <c r="P640" s="70" t="s">
        <v>1972</v>
      </c>
      <c r="Q640" s="68">
        <f>F640</f>
        <v>166.85</v>
      </c>
      <c r="R640" s="89" t="s">
        <v>2218</v>
      </c>
      <c r="S640" s="71">
        <f>F640+J640-K640+M640</f>
        <v>1254.05</v>
      </c>
    </row>
    <row r="641" spans="1:30">
      <c r="A641" s="60" t="s">
        <v>1604</v>
      </c>
      <c r="B641" s="21"/>
      <c r="C641" s="21"/>
      <c r="D641" s="61" t="s">
        <v>1605</v>
      </c>
      <c r="E641" s="21"/>
      <c r="F641" s="21"/>
      <c r="G641" s="89"/>
      <c r="H641" s="89"/>
      <c r="I641" s="89"/>
      <c r="J641" s="91"/>
      <c r="K641" s="91"/>
      <c r="L641" s="92"/>
      <c r="M641" s="12"/>
      <c r="N641" s="92"/>
      <c r="O641" s="92"/>
      <c r="P641" s="93"/>
      <c r="Q641" s="92"/>
      <c r="R641" s="91"/>
      <c r="S641" s="94"/>
    </row>
    <row r="642" spans="1:30">
      <c r="A642" s="60" t="s">
        <v>1606</v>
      </c>
      <c r="B642" s="21"/>
      <c r="C642" s="21"/>
      <c r="D642" s="61" t="s">
        <v>1607</v>
      </c>
      <c r="E642" s="21"/>
      <c r="F642" s="21"/>
      <c r="G642" s="89"/>
      <c r="H642" s="89"/>
      <c r="I642" s="89"/>
      <c r="J642" s="91"/>
      <c r="K642" s="91"/>
      <c r="L642" s="92"/>
      <c r="M642" s="12"/>
      <c r="N642" s="92"/>
      <c r="O642" s="92"/>
      <c r="P642" s="93"/>
      <c r="Q642" s="92"/>
      <c r="R642" s="91"/>
      <c r="S642" s="94"/>
    </row>
    <row r="643" spans="1:30" ht="51">
      <c r="A643" s="64" t="s">
        <v>1608</v>
      </c>
      <c r="B643" s="65" t="s">
        <v>1609</v>
      </c>
      <c r="C643" s="65" t="s">
        <v>23</v>
      </c>
      <c r="D643" s="72" t="s">
        <v>1610</v>
      </c>
      <c r="E643" s="65" t="s">
        <v>25</v>
      </c>
      <c r="F643" s="65">
        <v>186.15</v>
      </c>
      <c r="G643" s="89"/>
      <c r="H643" s="89"/>
      <c r="I643" s="89"/>
      <c r="J643" s="68"/>
      <c r="K643" s="89"/>
      <c r="L643" s="90"/>
      <c r="M643" s="20"/>
      <c r="N643" s="90"/>
      <c r="O643" s="90"/>
      <c r="P643" s="76"/>
      <c r="Q643" s="90"/>
      <c r="R643" s="89"/>
      <c r="S643" s="95"/>
    </row>
    <row r="644" spans="1:30" ht="63.75">
      <c r="A644" s="64" t="s">
        <v>1611</v>
      </c>
      <c r="B644" s="65" t="s">
        <v>1612</v>
      </c>
      <c r="C644" s="65" t="s">
        <v>23</v>
      </c>
      <c r="D644" s="72" t="s">
        <v>1613</v>
      </c>
      <c r="E644" s="65" t="s">
        <v>107</v>
      </c>
      <c r="F644" s="65">
        <v>5.15</v>
      </c>
      <c r="G644" s="89"/>
      <c r="H644" s="89"/>
      <c r="I644" s="89"/>
      <c r="J644" s="68"/>
      <c r="K644" s="89"/>
      <c r="L644" s="90"/>
      <c r="M644" s="20"/>
      <c r="N644" s="90"/>
      <c r="O644" s="90"/>
      <c r="P644" s="76"/>
      <c r="Q644" s="90"/>
      <c r="R644" s="89"/>
      <c r="S644" s="95"/>
    </row>
    <row r="645" spans="1:30" ht="63.75">
      <c r="A645" s="64" t="s">
        <v>1614</v>
      </c>
      <c r="B645" s="65" t="s">
        <v>1615</v>
      </c>
      <c r="C645" s="65" t="s">
        <v>200</v>
      </c>
      <c r="D645" s="72" t="s">
        <v>1616</v>
      </c>
      <c r="E645" s="65" t="s">
        <v>193</v>
      </c>
      <c r="F645" s="65">
        <v>209.47</v>
      </c>
      <c r="G645" s="89"/>
      <c r="H645" s="89"/>
      <c r="I645" s="89"/>
      <c r="J645" s="68"/>
      <c r="K645" s="89"/>
      <c r="L645" s="90"/>
      <c r="M645" s="20"/>
      <c r="N645" s="90"/>
      <c r="O645" s="90"/>
      <c r="P645" s="76"/>
      <c r="Q645" s="90"/>
      <c r="R645" s="89"/>
      <c r="S645" s="95"/>
    </row>
    <row r="646" spans="1:30" ht="63.75">
      <c r="A646" s="64" t="s">
        <v>1617</v>
      </c>
      <c r="B646" s="65" t="s">
        <v>1618</v>
      </c>
      <c r="C646" s="65" t="s">
        <v>200</v>
      </c>
      <c r="D646" s="72" t="s">
        <v>1619</v>
      </c>
      <c r="E646" s="65" t="s">
        <v>193</v>
      </c>
      <c r="F646" s="65">
        <v>79.400000000000006</v>
      </c>
      <c r="G646" s="89"/>
      <c r="H646" s="68"/>
      <c r="I646" s="90"/>
      <c r="J646" s="89"/>
      <c r="K646" s="76"/>
      <c r="L646" s="89"/>
      <c r="M646" s="20"/>
      <c r="N646" s="89"/>
      <c r="O646" s="89"/>
      <c r="P646" s="70"/>
      <c r="Q646" s="68"/>
      <c r="R646" s="90"/>
      <c r="S646" s="71"/>
      <c r="T646" s="85"/>
      <c r="U646" s="101"/>
      <c r="V646" s="20"/>
      <c r="W646" s="102"/>
      <c r="X646" s="101"/>
      <c r="Y646" s="101"/>
      <c r="Z646" s="102"/>
      <c r="AA646" s="103"/>
      <c r="AB646" s="102"/>
      <c r="AC646" s="101"/>
      <c r="AD646" s="102"/>
    </row>
    <row r="647" spans="1:30" ht="63.75">
      <c r="A647" s="64" t="s">
        <v>1620</v>
      </c>
      <c r="B647" s="65" t="s">
        <v>1621</v>
      </c>
      <c r="C647" s="65" t="s">
        <v>200</v>
      </c>
      <c r="D647" s="72" t="s">
        <v>1622</v>
      </c>
      <c r="E647" s="65" t="s">
        <v>193</v>
      </c>
      <c r="F647" s="65">
        <v>12.97</v>
      </c>
      <c r="G647" s="89"/>
      <c r="H647" s="89"/>
      <c r="I647" s="89"/>
      <c r="J647" s="68"/>
      <c r="K647" s="89"/>
      <c r="L647" s="90"/>
      <c r="M647" s="20">
        <v>283.14999999999998</v>
      </c>
      <c r="N647" s="90"/>
      <c r="O647" s="90"/>
      <c r="P647" s="70" t="s">
        <v>1972</v>
      </c>
      <c r="Q647" s="68">
        <f>F647</f>
        <v>12.97</v>
      </c>
      <c r="R647" s="89" t="s">
        <v>2495</v>
      </c>
      <c r="S647" s="71">
        <f>F647+J647-K647+M647</f>
        <v>296.12</v>
      </c>
    </row>
    <row r="648" spans="1:30">
      <c r="A648" s="60" t="s">
        <v>1623</v>
      </c>
      <c r="B648" s="21"/>
      <c r="C648" s="21"/>
      <c r="D648" s="61" t="s">
        <v>1624</v>
      </c>
      <c r="E648" s="21"/>
      <c r="F648" s="21"/>
      <c r="G648" s="89"/>
      <c r="H648" s="89"/>
      <c r="I648" s="89"/>
      <c r="J648" s="91"/>
      <c r="K648" s="91"/>
      <c r="L648" s="92"/>
      <c r="M648" s="12"/>
      <c r="N648" s="92"/>
      <c r="O648" s="92"/>
      <c r="P648" s="93"/>
      <c r="Q648" s="92"/>
      <c r="R648" s="91"/>
      <c r="S648" s="94"/>
    </row>
    <row r="649" spans="1:30" ht="38.25">
      <c r="A649" s="64" t="s">
        <v>1625</v>
      </c>
      <c r="B649" s="65" t="s">
        <v>1626</v>
      </c>
      <c r="C649" s="65" t="s">
        <v>23</v>
      </c>
      <c r="D649" s="72" t="s">
        <v>1627</v>
      </c>
      <c r="E649" s="65" t="s">
        <v>107</v>
      </c>
      <c r="F649" s="65">
        <v>874.81</v>
      </c>
      <c r="G649" s="89"/>
      <c r="H649" s="89"/>
      <c r="I649" s="89"/>
      <c r="J649" s="68"/>
      <c r="K649" s="89"/>
      <c r="L649" s="90"/>
      <c r="M649" s="20">
        <v>613.13</v>
      </c>
      <c r="N649" s="90"/>
      <c r="O649" s="90"/>
      <c r="P649" s="70" t="s">
        <v>1972</v>
      </c>
      <c r="Q649" s="68">
        <f>F649</f>
        <v>874.81</v>
      </c>
      <c r="R649" s="89" t="s">
        <v>2219</v>
      </c>
      <c r="S649" s="71">
        <f>F649+J649-K649+M649</f>
        <v>1487.94</v>
      </c>
    </row>
    <row r="650" spans="1:30" ht="51">
      <c r="A650" s="64" t="s">
        <v>1628</v>
      </c>
      <c r="B650" s="65" t="s">
        <v>1629</v>
      </c>
      <c r="C650" s="65" t="s">
        <v>23</v>
      </c>
      <c r="D650" s="72" t="s">
        <v>1630</v>
      </c>
      <c r="E650" s="65" t="s">
        <v>25</v>
      </c>
      <c r="F650" s="65">
        <v>252.5</v>
      </c>
      <c r="G650" s="89"/>
      <c r="H650" s="89"/>
      <c r="I650" s="89"/>
      <c r="J650" s="68"/>
      <c r="K650" s="89"/>
      <c r="L650" s="90"/>
      <c r="M650" s="20"/>
      <c r="N650" s="90"/>
      <c r="O650" s="90"/>
      <c r="P650" s="76"/>
      <c r="Q650" s="90"/>
      <c r="R650" s="89"/>
      <c r="S650" s="95"/>
    </row>
    <row r="651" spans="1:30" ht="51">
      <c r="A651" s="64" t="s">
        <v>1631</v>
      </c>
      <c r="B651" s="65" t="s">
        <v>1632</v>
      </c>
      <c r="C651" s="65" t="s">
        <v>23</v>
      </c>
      <c r="D651" s="72" t="s">
        <v>1633</v>
      </c>
      <c r="E651" s="65" t="s">
        <v>25</v>
      </c>
      <c r="F651" s="65">
        <v>4728.22</v>
      </c>
      <c r="G651" s="89"/>
      <c r="H651" s="89"/>
      <c r="I651" s="89"/>
      <c r="J651" s="68"/>
      <c r="K651" s="89"/>
      <c r="L651" s="90"/>
      <c r="M651" s="20">
        <v>1644.34</v>
      </c>
      <c r="N651" s="90"/>
      <c r="O651" s="90"/>
      <c r="P651" s="70" t="s">
        <v>1972</v>
      </c>
      <c r="Q651" s="68">
        <f>F651</f>
        <v>4728.22</v>
      </c>
      <c r="R651" s="89" t="s">
        <v>2220</v>
      </c>
      <c r="S651" s="71">
        <f>F651+J651-K651+M651</f>
        <v>6372.56</v>
      </c>
    </row>
    <row r="652" spans="1:30" ht="51">
      <c r="A652" s="64" t="s">
        <v>1634</v>
      </c>
      <c r="B652" s="65" t="s">
        <v>1635</v>
      </c>
      <c r="C652" s="65" t="s">
        <v>23</v>
      </c>
      <c r="D652" s="72" t="s">
        <v>1636</v>
      </c>
      <c r="E652" s="65" t="s">
        <v>25</v>
      </c>
      <c r="F652" s="65">
        <v>931.9</v>
      </c>
      <c r="G652" s="89"/>
      <c r="H652" s="89"/>
      <c r="I652" s="89"/>
      <c r="J652" s="68"/>
      <c r="K652" s="89"/>
      <c r="L652" s="90"/>
      <c r="M652" s="20">
        <v>78</v>
      </c>
      <c r="N652" s="90"/>
      <c r="O652" s="90"/>
      <c r="P652" s="70" t="s">
        <v>1972</v>
      </c>
      <c r="Q652" s="68">
        <f>F652</f>
        <v>931.9</v>
      </c>
      <c r="R652" s="89" t="s">
        <v>2221</v>
      </c>
      <c r="S652" s="71">
        <f>F652+J652-K652+M652</f>
        <v>1009.9</v>
      </c>
    </row>
    <row r="653" spans="1:30">
      <c r="A653" s="60" t="s">
        <v>1637</v>
      </c>
      <c r="B653" s="21"/>
      <c r="C653" s="21"/>
      <c r="D653" s="61" t="s">
        <v>1638</v>
      </c>
      <c r="E653" s="21"/>
      <c r="F653" s="21"/>
      <c r="G653" s="89"/>
      <c r="H653" s="89"/>
      <c r="I653" s="89"/>
      <c r="J653" s="91"/>
      <c r="K653" s="91"/>
      <c r="L653" s="92"/>
      <c r="M653" s="12"/>
      <c r="N653" s="92"/>
      <c r="O653" s="92"/>
      <c r="P653" s="93"/>
      <c r="Q653" s="92"/>
      <c r="R653" s="91"/>
      <c r="S653" s="94"/>
    </row>
    <row r="654" spans="1:30" ht="15">
      <c r="A654" s="64" t="s">
        <v>1639</v>
      </c>
      <c r="B654" s="65" t="s">
        <v>1640</v>
      </c>
      <c r="C654" s="65" t="s">
        <v>23</v>
      </c>
      <c r="D654" s="72" t="s">
        <v>1641</v>
      </c>
      <c r="E654" s="65" t="s">
        <v>38</v>
      </c>
      <c r="F654" s="65">
        <v>250.01</v>
      </c>
      <c r="G654" s="89"/>
      <c r="H654" s="89"/>
      <c r="I654" s="89"/>
      <c r="J654" s="68"/>
      <c r="K654" s="89"/>
      <c r="L654" s="90"/>
      <c r="M654" s="20">
        <f>710.628/2</f>
        <v>355.31400000000002</v>
      </c>
      <c r="N654" s="90"/>
      <c r="O654" s="90"/>
      <c r="P654" s="70" t="s">
        <v>1972</v>
      </c>
      <c r="Q654" s="68">
        <f t="shared" ref="Q654:Q659" si="0">F654</f>
        <v>250.01</v>
      </c>
      <c r="R654" s="89" t="s">
        <v>2496</v>
      </c>
      <c r="S654" s="71">
        <f t="shared" ref="S654:S659" si="1">F654+J654-K654+M654</f>
        <v>605.32400000000007</v>
      </c>
    </row>
    <row r="655" spans="1:30" ht="25.5">
      <c r="A655" s="64" t="s">
        <v>1642</v>
      </c>
      <c r="B655" s="65" t="s">
        <v>1643</v>
      </c>
      <c r="C655" s="65" t="s">
        <v>133</v>
      </c>
      <c r="D655" s="72" t="s">
        <v>1644</v>
      </c>
      <c r="E655" s="65" t="s">
        <v>253</v>
      </c>
      <c r="F655" s="65">
        <v>5</v>
      </c>
      <c r="G655" s="89"/>
      <c r="H655" s="89"/>
      <c r="I655" s="89"/>
      <c r="J655" s="68"/>
      <c r="K655" s="89"/>
      <c r="L655" s="90"/>
      <c r="M655" s="20">
        <v>5</v>
      </c>
      <c r="N655" s="90"/>
      <c r="O655" s="90"/>
      <c r="P655" s="70" t="s">
        <v>1972</v>
      </c>
      <c r="Q655" s="68">
        <f t="shared" si="0"/>
        <v>5</v>
      </c>
      <c r="R655" s="89" t="s">
        <v>2188</v>
      </c>
      <c r="S655" s="71">
        <f t="shared" si="1"/>
        <v>10</v>
      </c>
    </row>
    <row r="656" spans="1:30" ht="25.5">
      <c r="A656" s="64" t="s">
        <v>1645</v>
      </c>
      <c r="B656" s="65" t="s">
        <v>1646</v>
      </c>
      <c r="C656" s="65" t="s">
        <v>200</v>
      </c>
      <c r="D656" s="72" t="s">
        <v>1647</v>
      </c>
      <c r="E656" s="65" t="s">
        <v>243</v>
      </c>
      <c r="F656" s="65">
        <v>826.01</v>
      </c>
      <c r="G656" s="89"/>
      <c r="H656" s="89"/>
      <c r="I656" s="89"/>
      <c r="J656" s="68"/>
      <c r="K656" s="89"/>
      <c r="L656" s="90"/>
      <c r="M656" s="20">
        <v>3553.14</v>
      </c>
      <c r="N656" s="90"/>
      <c r="O656" s="90"/>
      <c r="P656" s="70" t="s">
        <v>1972</v>
      </c>
      <c r="Q656" s="68">
        <f t="shared" si="0"/>
        <v>826.01</v>
      </c>
      <c r="R656" s="89" t="s">
        <v>2222</v>
      </c>
      <c r="S656" s="71">
        <f t="shared" si="1"/>
        <v>4379.1499999999996</v>
      </c>
    </row>
    <row r="657" spans="1:19" ht="25.5">
      <c r="A657" s="64" t="s">
        <v>1648</v>
      </c>
      <c r="B657" s="65" t="s">
        <v>1649</v>
      </c>
      <c r="C657" s="65" t="s">
        <v>200</v>
      </c>
      <c r="D657" s="72" t="s">
        <v>1650</v>
      </c>
      <c r="E657" s="65" t="s">
        <v>243</v>
      </c>
      <c r="F657" s="65">
        <v>111.08</v>
      </c>
      <c r="G657" s="89"/>
      <c r="H657" s="89"/>
      <c r="I657" s="89"/>
      <c r="J657" s="68"/>
      <c r="K657" s="89"/>
      <c r="L657" s="90"/>
      <c r="M657" s="20">
        <v>39.43</v>
      </c>
      <c r="N657" s="90"/>
      <c r="O657" s="90"/>
      <c r="P657" s="70" t="s">
        <v>1972</v>
      </c>
      <c r="Q657" s="68">
        <f t="shared" si="0"/>
        <v>111.08</v>
      </c>
      <c r="R657" s="89" t="s">
        <v>2475</v>
      </c>
      <c r="S657" s="71">
        <f t="shared" si="1"/>
        <v>150.51</v>
      </c>
    </row>
    <row r="658" spans="1:19" ht="25.5">
      <c r="A658" s="64" t="s">
        <v>1651</v>
      </c>
      <c r="B658" s="65" t="s">
        <v>1652</v>
      </c>
      <c r="C658" s="65" t="s">
        <v>200</v>
      </c>
      <c r="D658" s="72" t="s">
        <v>1653</v>
      </c>
      <c r="E658" s="65" t="s">
        <v>243</v>
      </c>
      <c r="F658" s="65">
        <v>167.94</v>
      </c>
      <c r="G658" s="89"/>
      <c r="H658" s="89"/>
      <c r="I658" s="89"/>
      <c r="J658" s="68"/>
      <c r="K658" s="89"/>
      <c r="L658" s="90"/>
      <c r="M658" s="20">
        <v>24.18</v>
      </c>
      <c r="N658" s="90"/>
      <c r="O658" s="90"/>
      <c r="P658" s="70" t="s">
        <v>1972</v>
      </c>
      <c r="Q658" s="68">
        <f t="shared" si="0"/>
        <v>167.94</v>
      </c>
      <c r="R658" s="89" t="s">
        <v>2223</v>
      </c>
      <c r="S658" s="71">
        <f t="shared" si="1"/>
        <v>192.12</v>
      </c>
    </row>
    <row r="659" spans="1:19" ht="25.5">
      <c r="A659" s="64" t="s">
        <v>1654</v>
      </c>
      <c r="B659" s="65" t="s">
        <v>1655</v>
      </c>
      <c r="C659" s="65" t="s">
        <v>200</v>
      </c>
      <c r="D659" s="72" t="s">
        <v>1656</v>
      </c>
      <c r="E659" s="65" t="s">
        <v>243</v>
      </c>
      <c r="F659" s="65">
        <v>157.28</v>
      </c>
      <c r="G659" s="89"/>
      <c r="H659" s="89"/>
      <c r="I659" s="89"/>
      <c r="J659" s="68"/>
      <c r="K659" s="89"/>
      <c r="L659" s="90"/>
      <c r="M659" s="20">
        <v>21.15</v>
      </c>
      <c r="N659" s="90"/>
      <c r="O659" s="90"/>
      <c r="P659" s="70" t="s">
        <v>1972</v>
      </c>
      <c r="Q659" s="68">
        <f t="shared" si="0"/>
        <v>157.28</v>
      </c>
      <c r="R659" s="89" t="s">
        <v>2224</v>
      </c>
      <c r="S659" s="71">
        <f t="shared" si="1"/>
        <v>178.43</v>
      </c>
    </row>
    <row r="660" spans="1:19" ht="25.5">
      <c r="A660" s="64" t="s">
        <v>1657</v>
      </c>
      <c r="B660" s="65" t="s">
        <v>1658</v>
      </c>
      <c r="C660" s="65" t="s">
        <v>200</v>
      </c>
      <c r="D660" s="72" t="s">
        <v>1659</v>
      </c>
      <c r="E660" s="65" t="s">
        <v>202</v>
      </c>
      <c r="F660" s="65">
        <v>6</v>
      </c>
      <c r="G660" s="89"/>
      <c r="H660" s="89"/>
      <c r="I660" s="89"/>
      <c r="J660" s="68"/>
      <c r="K660" s="89"/>
      <c r="L660" s="90"/>
      <c r="M660" s="20"/>
      <c r="N660" s="90"/>
      <c r="O660" s="90"/>
      <c r="P660" s="76"/>
      <c r="Q660" s="90"/>
      <c r="R660" s="89"/>
      <c r="S660" s="95"/>
    </row>
    <row r="661" spans="1:19" ht="25.5">
      <c r="A661" s="64" t="s">
        <v>1660</v>
      </c>
      <c r="B661" s="65" t="s">
        <v>1661</v>
      </c>
      <c r="C661" s="65" t="s">
        <v>200</v>
      </c>
      <c r="D661" s="72" t="s">
        <v>1662</v>
      </c>
      <c r="E661" s="65" t="s">
        <v>202</v>
      </c>
      <c r="F661" s="65">
        <v>7</v>
      </c>
      <c r="G661" s="89"/>
      <c r="H661" s="89"/>
      <c r="I661" s="89"/>
      <c r="J661" s="68"/>
      <c r="K661" s="89"/>
      <c r="L661" s="90"/>
      <c r="M661" s="20"/>
      <c r="N661" s="90"/>
      <c r="O661" s="90"/>
      <c r="P661" s="76"/>
      <c r="Q661" s="90"/>
      <c r="R661" s="89"/>
      <c r="S661" s="95"/>
    </row>
    <row r="662" spans="1:19" ht="38.25">
      <c r="A662" s="64" t="s">
        <v>1663</v>
      </c>
      <c r="B662" s="65" t="s">
        <v>1664</v>
      </c>
      <c r="C662" s="65" t="s">
        <v>133</v>
      </c>
      <c r="D662" s="72" t="s">
        <v>1665</v>
      </c>
      <c r="E662" s="65" t="s">
        <v>253</v>
      </c>
      <c r="F662" s="65">
        <v>32</v>
      </c>
      <c r="G662" s="89"/>
      <c r="H662" s="89"/>
      <c r="I662" s="89"/>
      <c r="J662" s="68"/>
      <c r="K662" s="89"/>
      <c r="L662" s="90"/>
      <c r="M662" s="20"/>
      <c r="N662" s="90"/>
      <c r="O662" s="90"/>
      <c r="P662" s="76"/>
      <c r="Q662" s="90"/>
      <c r="R662" s="89"/>
      <c r="S662" s="95"/>
    </row>
    <row r="663" spans="1:19">
      <c r="A663" s="60" t="s">
        <v>1666</v>
      </c>
      <c r="B663" s="21"/>
      <c r="C663" s="21"/>
      <c r="D663" s="61" t="s">
        <v>1667</v>
      </c>
      <c r="E663" s="21"/>
      <c r="F663" s="21"/>
      <c r="G663" s="89"/>
      <c r="H663" s="89"/>
      <c r="I663" s="89"/>
      <c r="J663" s="91"/>
      <c r="K663" s="91"/>
      <c r="L663" s="92"/>
      <c r="M663" s="12"/>
      <c r="N663" s="92"/>
      <c r="O663" s="92"/>
      <c r="P663" s="93"/>
      <c r="Q663" s="92"/>
      <c r="R663" s="91"/>
      <c r="S663" s="94"/>
    </row>
    <row r="664" spans="1:19" ht="15">
      <c r="A664" s="64" t="s">
        <v>1668</v>
      </c>
      <c r="B664" s="65" t="s">
        <v>1669</v>
      </c>
      <c r="C664" s="65" t="s">
        <v>23</v>
      </c>
      <c r="D664" s="72" t="s">
        <v>1670</v>
      </c>
      <c r="E664" s="65" t="s">
        <v>25</v>
      </c>
      <c r="F664" s="65">
        <v>11958.17</v>
      </c>
      <c r="G664" s="89"/>
      <c r="H664" s="89"/>
      <c r="I664" s="89"/>
      <c r="J664" s="68"/>
      <c r="K664" s="89"/>
      <c r="L664" s="90"/>
      <c r="M664" s="20">
        <v>3529.19</v>
      </c>
      <c r="N664" s="90"/>
      <c r="O664" s="90"/>
      <c r="P664" s="70" t="s">
        <v>1972</v>
      </c>
      <c r="Q664" s="68">
        <f>F664</f>
        <v>11958.17</v>
      </c>
      <c r="R664" s="89" t="s">
        <v>2497</v>
      </c>
      <c r="S664" s="71">
        <f>F664+J664-K664+M664</f>
        <v>15487.36</v>
      </c>
    </row>
    <row r="665" spans="1:19" ht="15">
      <c r="A665" s="64" t="s">
        <v>1671</v>
      </c>
      <c r="B665" s="65" t="s">
        <v>1672</v>
      </c>
      <c r="C665" s="65" t="s">
        <v>23</v>
      </c>
      <c r="D665" s="72" t="s">
        <v>1673</v>
      </c>
      <c r="E665" s="65" t="s">
        <v>25</v>
      </c>
      <c r="F665" s="65">
        <v>450.18</v>
      </c>
      <c r="G665" s="89"/>
      <c r="H665" s="89"/>
      <c r="I665" s="89"/>
      <c r="J665" s="68"/>
      <c r="K665" s="89"/>
      <c r="L665" s="90"/>
      <c r="M665" s="20"/>
      <c r="N665" s="90"/>
      <c r="O665" s="90"/>
      <c r="P665" s="76"/>
      <c r="Q665" s="90"/>
      <c r="R665" s="89"/>
      <c r="S665" s="95"/>
    </row>
    <row r="666" spans="1:19">
      <c r="A666" s="60" t="s">
        <v>1674</v>
      </c>
      <c r="B666" s="21"/>
      <c r="C666" s="21"/>
      <c r="D666" s="61" t="s">
        <v>1675</v>
      </c>
      <c r="E666" s="21"/>
      <c r="F666" s="21"/>
      <c r="G666" s="89"/>
      <c r="H666" s="89"/>
      <c r="I666" s="89"/>
      <c r="J666" s="91"/>
      <c r="K666" s="91"/>
      <c r="L666" s="92"/>
      <c r="M666" s="12"/>
      <c r="N666" s="92"/>
      <c r="O666" s="92"/>
      <c r="P666" s="93"/>
      <c r="Q666" s="92"/>
      <c r="R666" s="91"/>
      <c r="S666" s="94"/>
    </row>
    <row r="667" spans="1:19" ht="38.25">
      <c r="A667" s="64" t="s">
        <v>1676</v>
      </c>
      <c r="B667" s="65" t="s">
        <v>1677</v>
      </c>
      <c r="C667" s="65" t="s">
        <v>23</v>
      </c>
      <c r="D667" s="72" t="s">
        <v>1678</v>
      </c>
      <c r="E667" s="65" t="s">
        <v>48</v>
      </c>
      <c r="F667" s="65">
        <v>1</v>
      </c>
      <c r="G667" s="89"/>
      <c r="H667" s="89"/>
      <c r="I667" s="89"/>
      <c r="J667" s="68"/>
      <c r="K667" s="89"/>
      <c r="L667" s="90"/>
      <c r="M667" s="20"/>
      <c r="N667" s="90"/>
      <c r="O667" s="90"/>
      <c r="P667" s="76"/>
      <c r="Q667" s="90"/>
      <c r="R667" s="89"/>
      <c r="S667" s="95"/>
    </row>
    <row r="668" spans="1:19" ht="25.5">
      <c r="A668" s="64" t="s">
        <v>1679</v>
      </c>
      <c r="B668" s="65" t="s">
        <v>1680</v>
      </c>
      <c r="C668" s="65" t="s">
        <v>200</v>
      </c>
      <c r="D668" s="72" t="s">
        <v>1681</v>
      </c>
      <c r="E668" s="65" t="s">
        <v>202</v>
      </c>
      <c r="F668" s="65">
        <v>12</v>
      </c>
      <c r="G668" s="89"/>
      <c r="H668" s="89"/>
      <c r="I668" s="89"/>
      <c r="J668" s="68"/>
      <c r="K668" s="89"/>
      <c r="L668" s="90"/>
      <c r="M668" s="20"/>
      <c r="N668" s="90"/>
      <c r="O668" s="90"/>
      <c r="P668" s="76"/>
      <c r="Q668" s="90"/>
      <c r="R668" s="89"/>
      <c r="S668" s="95"/>
    </row>
    <row r="669" spans="1:19" ht="51">
      <c r="A669" s="64" t="s">
        <v>1682</v>
      </c>
      <c r="B669" s="65" t="s">
        <v>1683</v>
      </c>
      <c r="C669" s="65" t="s">
        <v>133</v>
      </c>
      <c r="D669" s="72" t="s">
        <v>1684</v>
      </c>
      <c r="E669" s="65" t="s">
        <v>25</v>
      </c>
      <c r="F669" s="65">
        <v>79.2</v>
      </c>
      <c r="G669" s="89"/>
      <c r="H669" s="89"/>
      <c r="I669" s="89"/>
      <c r="J669" s="104"/>
      <c r="K669" s="105"/>
      <c r="L669" s="106"/>
      <c r="M669" s="20">
        <v>97.35</v>
      </c>
      <c r="N669" s="106"/>
      <c r="O669" s="106"/>
      <c r="P669" s="70" t="s">
        <v>1972</v>
      </c>
      <c r="Q669" s="68">
        <f>F669</f>
        <v>79.2</v>
      </c>
      <c r="R669" s="105" t="s">
        <v>2480</v>
      </c>
      <c r="S669" s="71">
        <f>F669+J669-K669+M669</f>
        <v>176.55</v>
      </c>
    </row>
    <row r="670" spans="1:19">
      <c r="A670" s="60" t="s">
        <v>1685</v>
      </c>
      <c r="B670" s="21"/>
      <c r="C670" s="21"/>
      <c r="D670" s="61" t="s">
        <v>1686</v>
      </c>
      <c r="E670" s="21"/>
      <c r="F670" s="21"/>
      <c r="G670" s="89"/>
      <c r="H670" s="89"/>
      <c r="I670" s="89"/>
      <c r="J670" s="91"/>
      <c r="K670" s="91"/>
      <c r="L670" s="92"/>
      <c r="M670" s="12"/>
      <c r="N670" s="92"/>
      <c r="O670" s="92"/>
      <c r="P670" s="93"/>
      <c r="Q670" s="92"/>
      <c r="R670" s="91"/>
      <c r="S670" s="94"/>
    </row>
    <row r="671" spans="1:19">
      <c r="A671" s="60" t="s">
        <v>1687</v>
      </c>
      <c r="B671" s="21"/>
      <c r="C671" s="21"/>
      <c r="D671" s="61" t="s">
        <v>1688</v>
      </c>
      <c r="E671" s="21"/>
      <c r="F671" s="21"/>
      <c r="G671" s="89"/>
      <c r="H671" s="89"/>
      <c r="I671" s="89"/>
      <c r="J671" s="91"/>
      <c r="K671" s="91"/>
      <c r="L671" s="92"/>
      <c r="M671" s="12"/>
      <c r="N671" s="92"/>
      <c r="O671" s="92"/>
      <c r="P671" s="93"/>
      <c r="Q671" s="92"/>
      <c r="R671" s="91"/>
      <c r="S671" s="94"/>
    </row>
    <row r="672" spans="1:19">
      <c r="A672" s="60" t="s">
        <v>1689</v>
      </c>
      <c r="B672" s="21"/>
      <c r="C672" s="21"/>
      <c r="D672" s="61" t="s">
        <v>1690</v>
      </c>
      <c r="E672" s="21"/>
      <c r="F672" s="21"/>
      <c r="G672" s="89"/>
      <c r="H672" s="89"/>
      <c r="I672" s="89"/>
      <c r="J672" s="91"/>
      <c r="K672" s="91"/>
      <c r="L672" s="92"/>
      <c r="M672" s="12"/>
      <c r="N672" s="92"/>
      <c r="O672" s="92"/>
      <c r="P672" s="93"/>
      <c r="Q672" s="92"/>
      <c r="R672" s="91"/>
      <c r="S672" s="94"/>
    </row>
    <row r="673" spans="1:19">
      <c r="A673" s="60" t="s">
        <v>1691</v>
      </c>
      <c r="B673" s="21"/>
      <c r="C673" s="21"/>
      <c r="D673" s="61" t="s">
        <v>1692</v>
      </c>
      <c r="E673" s="21"/>
      <c r="F673" s="21"/>
      <c r="G673" s="89"/>
      <c r="H673" s="89"/>
      <c r="I673" s="89"/>
      <c r="J673" s="91"/>
      <c r="K673" s="91"/>
      <c r="L673" s="92"/>
      <c r="M673" s="12"/>
      <c r="N673" s="92"/>
      <c r="O673" s="92"/>
      <c r="P673" s="93"/>
      <c r="Q673" s="92"/>
      <c r="R673" s="91"/>
      <c r="S673" s="94"/>
    </row>
    <row r="674" spans="1:19">
      <c r="A674" s="60" t="s">
        <v>1693</v>
      </c>
      <c r="B674" s="21"/>
      <c r="C674" s="21"/>
      <c r="D674" s="61" t="s">
        <v>1694</v>
      </c>
      <c r="E674" s="21"/>
      <c r="F674" s="21"/>
      <c r="G674" s="89"/>
      <c r="H674" s="89"/>
      <c r="I674" s="89"/>
      <c r="J674" s="91"/>
      <c r="K674" s="91"/>
      <c r="L674" s="92"/>
      <c r="M674" s="12"/>
      <c r="N674" s="92"/>
      <c r="O674" s="92"/>
      <c r="P674" s="93"/>
      <c r="Q674" s="92"/>
      <c r="R674" s="91"/>
      <c r="S674" s="94"/>
    </row>
    <row r="675" spans="1:19" ht="25.5">
      <c r="A675" s="64" t="s">
        <v>1695</v>
      </c>
      <c r="B675" s="65" t="s">
        <v>1696</v>
      </c>
      <c r="C675" s="65" t="s">
        <v>200</v>
      </c>
      <c r="D675" s="72" t="s">
        <v>1697</v>
      </c>
      <c r="E675" s="65" t="s">
        <v>107</v>
      </c>
      <c r="F675" s="65">
        <v>3.48</v>
      </c>
      <c r="G675" s="89"/>
      <c r="H675" s="89"/>
      <c r="I675" s="89"/>
      <c r="J675" s="68"/>
      <c r="K675" s="89"/>
      <c r="L675" s="90"/>
      <c r="M675" s="20"/>
      <c r="N675" s="90"/>
      <c r="O675" s="90"/>
      <c r="P675" s="76"/>
      <c r="Q675" s="90"/>
      <c r="R675" s="89"/>
      <c r="S675" s="95"/>
    </row>
    <row r="676" spans="1:19" ht="25.5">
      <c r="A676" s="64" t="s">
        <v>1698</v>
      </c>
      <c r="B676" s="65" t="s">
        <v>1699</v>
      </c>
      <c r="C676" s="65" t="s">
        <v>200</v>
      </c>
      <c r="D676" s="72" t="s">
        <v>1700</v>
      </c>
      <c r="E676" s="65" t="s">
        <v>107</v>
      </c>
      <c r="F676" s="65">
        <v>55.45</v>
      </c>
      <c r="G676" s="89"/>
      <c r="H676" s="89"/>
      <c r="I676" s="89"/>
      <c r="J676" s="68"/>
      <c r="K676" s="89"/>
      <c r="L676" s="90"/>
      <c r="M676" s="20"/>
      <c r="N676" s="90"/>
      <c r="O676" s="90"/>
      <c r="P676" s="76"/>
      <c r="Q676" s="90"/>
      <c r="R676" s="89"/>
      <c r="S676" s="95"/>
    </row>
    <row r="677" spans="1:19" ht="25.5">
      <c r="A677" s="64" t="s">
        <v>1701</v>
      </c>
      <c r="B677" s="65" t="s">
        <v>1702</v>
      </c>
      <c r="C677" s="65" t="s">
        <v>200</v>
      </c>
      <c r="D677" s="72" t="s">
        <v>1703</v>
      </c>
      <c r="E677" s="65" t="s">
        <v>107</v>
      </c>
      <c r="F677" s="65">
        <v>99.67</v>
      </c>
      <c r="G677" s="89"/>
      <c r="H677" s="89"/>
      <c r="I677" s="89"/>
      <c r="J677" s="68"/>
      <c r="K677" s="89"/>
      <c r="L677" s="90"/>
      <c r="M677" s="20"/>
      <c r="N677" s="90"/>
      <c r="O677" s="90"/>
      <c r="P677" s="76"/>
      <c r="Q677" s="90"/>
      <c r="R677" s="89"/>
      <c r="S677" s="95"/>
    </row>
    <row r="678" spans="1:19" ht="25.5">
      <c r="A678" s="64" t="s">
        <v>1704</v>
      </c>
      <c r="B678" s="65" t="s">
        <v>1705</v>
      </c>
      <c r="C678" s="65" t="s">
        <v>200</v>
      </c>
      <c r="D678" s="72" t="s">
        <v>1706</v>
      </c>
      <c r="E678" s="65" t="s">
        <v>107</v>
      </c>
      <c r="F678" s="65">
        <v>125.94</v>
      </c>
      <c r="G678" s="89"/>
      <c r="H678" s="89"/>
      <c r="I678" s="89"/>
      <c r="J678" s="68"/>
      <c r="K678" s="89"/>
      <c r="L678" s="90"/>
      <c r="M678" s="20"/>
      <c r="N678" s="90"/>
      <c r="O678" s="90"/>
      <c r="P678" s="76"/>
      <c r="Q678" s="90"/>
      <c r="R678" s="89"/>
      <c r="S678" s="95"/>
    </row>
    <row r="679" spans="1:19" ht="25.5">
      <c r="A679" s="64" t="s">
        <v>1707</v>
      </c>
      <c r="B679" s="65" t="s">
        <v>1708</v>
      </c>
      <c r="C679" s="65" t="s">
        <v>200</v>
      </c>
      <c r="D679" s="72" t="s">
        <v>1709</v>
      </c>
      <c r="E679" s="65" t="s">
        <v>107</v>
      </c>
      <c r="F679" s="65">
        <v>67.22</v>
      </c>
      <c r="G679" s="89"/>
      <c r="H679" s="89"/>
      <c r="I679" s="89"/>
      <c r="J679" s="68"/>
      <c r="K679" s="89"/>
      <c r="L679" s="90"/>
      <c r="M679" s="20">
        <f>150+132.28</f>
        <v>282.27999999999997</v>
      </c>
      <c r="N679" s="90"/>
      <c r="O679" s="90"/>
      <c r="P679" s="70" t="s">
        <v>1972</v>
      </c>
      <c r="Q679" s="68">
        <f>F679</f>
        <v>67.22</v>
      </c>
      <c r="R679" s="89" t="s">
        <v>2225</v>
      </c>
      <c r="S679" s="71">
        <f>F679+J679-K679+M679</f>
        <v>349.5</v>
      </c>
    </row>
    <row r="680" spans="1:19" ht="25.5">
      <c r="A680" s="64" t="s">
        <v>1710</v>
      </c>
      <c r="B680" s="65" t="s">
        <v>1711</v>
      </c>
      <c r="C680" s="65" t="s">
        <v>200</v>
      </c>
      <c r="D680" s="72" t="s">
        <v>1712</v>
      </c>
      <c r="E680" s="65" t="s">
        <v>107</v>
      </c>
      <c r="F680" s="65">
        <v>54.76</v>
      </c>
      <c r="G680" s="89"/>
      <c r="H680" s="89"/>
      <c r="I680" s="89"/>
      <c r="J680" s="68"/>
      <c r="K680" s="89"/>
      <c r="L680" s="90"/>
      <c r="M680" s="20"/>
      <c r="N680" s="90"/>
      <c r="O680" s="90"/>
      <c r="P680" s="76"/>
      <c r="Q680" s="90"/>
      <c r="R680" s="89"/>
      <c r="S680" s="95"/>
    </row>
    <row r="681" spans="1:19" ht="25.5">
      <c r="A681" s="60" t="s">
        <v>1713</v>
      </c>
      <c r="B681" s="21"/>
      <c r="C681" s="21"/>
      <c r="D681" s="61" t="s">
        <v>1714</v>
      </c>
      <c r="E681" s="21"/>
      <c r="F681" s="21"/>
      <c r="G681" s="89"/>
      <c r="H681" s="89"/>
      <c r="I681" s="89"/>
      <c r="J681" s="91"/>
      <c r="K681" s="91"/>
      <c r="L681" s="92"/>
      <c r="M681" s="12"/>
      <c r="N681" s="92"/>
      <c r="O681" s="92"/>
      <c r="P681" s="93"/>
      <c r="Q681" s="92"/>
      <c r="R681" s="91"/>
      <c r="S681" s="94"/>
    </row>
    <row r="682" spans="1:19" ht="38.25">
      <c r="A682" s="64" t="s">
        <v>1715</v>
      </c>
      <c r="B682" s="65" t="s">
        <v>2226</v>
      </c>
      <c r="C682" s="65" t="s">
        <v>133</v>
      </c>
      <c r="D682" s="72" t="s">
        <v>1716</v>
      </c>
      <c r="E682" s="65" t="s">
        <v>253</v>
      </c>
      <c r="F682" s="65">
        <v>25</v>
      </c>
      <c r="G682" s="89"/>
      <c r="H682" s="89"/>
      <c r="I682" s="89"/>
      <c r="J682" s="68"/>
      <c r="K682" s="89"/>
      <c r="L682" s="90"/>
      <c r="M682" s="20"/>
      <c r="N682" s="90"/>
      <c r="O682" s="90"/>
      <c r="P682" s="76"/>
      <c r="Q682" s="90"/>
      <c r="R682" s="89"/>
      <c r="S682" s="95"/>
    </row>
    <row r="683" spans="1:19" ht="38.25">
      <c r="A683" s="64" t="s">
        <v>1717</v>
      </c>
      <c r="B683" s="65" t="s">
        <v>1718</v>
      </c>
      <c r="C683" s="65" t="s">
        <v>133</v>
      </c>
      <c r="D683" s="72" t="s">
        <v>1719</v>
      </c>
      <c r="E683" s="65" t="s">
        <v>253</v>
      </c>
      <c r="F683" s="65">
        <v>1</v>
      </c>
      <c r="G683" s="89"/>
      <c r="H683" s="89"/>
      <c r="I683" s="89"/>
      <c r="J683" s="68"/>
      <c r="K683" s="89"/>
      <c r="L683" s="90"/>
      <c r="M683" s="20"/>
      <c r="N683" s="90"/>
      <c r="O683" s="90"/>
      <c r="P683" s="76"/>
      <c r="Q683" s="90"/>
      <c r="R683" s="89"/>
      <c r="S683" s="95"/>
    </row>
    <row r="684" spans="1:19" ht="38.25">
      <c r="A684" s="64" t="s">
        <v>1720</v>
      </c>
      <c r="B684" s="65" t="s">
        <v>1721</v>
      </c>
      <c r="C684" s="65" t="s">
        <v>133</v>
      </c>
      <c r="D684" s="72" t="s">
        <v>1722</v>
      </c>
      <c r="E684" s="65" t="s">
        <v>253</v>
      </c>
      <c r="F684" s="65">
        <v>5</v>
      </c>
      <c r="G684" s="89"/>
      <c r="H684" s="89"/>
      <c r="I684" s="89"/>
      <c r="J684" s="68"/>
      <c r="K684" s="89"/>
      <c r="L684" s="90"/>
      <c r="M684" s="20"/>
      <c r="N684" s="90"/>
      <c r="O684" s="90"/>
      <c r="P684" s="76"/>
      <c r="Q684" s="90"/>
      <c r="R684" s="89"/>
      <c r="S684" s="95"/>
    </row>
    <row r="685" spans="1:19" ht="38.25">
      <c r="A685" s="64" t="s">
        <v>1723</v>
      </c>
      <c r="B685" s="65" t="s">
        <v>1724</v>
      </c>
      <c r="C685" s="65" t="s">
        <v>133</v>
      </c>
      <c r="D685" s="72" t="s">
        <v>1725</v>
      </c>
      <c r="E685" s="65" t="s">
        <v>253</v>
      </c>
      <c r="F685" s="65">
        <v>2</v>
      </c>
      <c r="G685" s="89"/>
      <c r="H685" s="89"/>
      <c r="I685" s="89"/>
      <c r="J685" s="68"/>
      <c r="K685" s="89"/>
      <c r="L685" s="90"/>
      <c r="M685" s="20">
        <v>1</v>
      </c>
      <c r="N685" s="90"/>
      <c r="O685" s="90"/>
      <c r="P685" s="70" t="s">
        <v>1972</v>
      </c>
      <c r="Q685" s="68">
        <f>F685</f>
        <v>2</v>
      </c>
      <c r="R685" s="89" t="s">
        <v>2227</v>
      </c>
      <c r="S685" s="71">
        <f>F685+J685-K685+M685</f>
        <v>3</v>
      </c>
    </row>
    <row r="686" spans="1:19" ht="38.25">
      <c r="A686" s="64" t="s">
        <v>1726</v>
      </c>
      <c r="B686" s="65" t="s">
        <v>1727</v>
      </c>
      <c r="C686" s="65" t="s">
        <v>133</v>
      </c>
      <c r="D686" s="72" t="s">
        <v>1728</v>
      </c>
      <c r="E686" s="65" t="s">
        <v>253</v>
      </c>
      <c r="F686" s="65">
        <v>2</v>
      </c>
      <c r="G686" s="89"/>
      <c r="H686" s="89"/>
      <c r="I686" s="89"/>
      <c r="J686" s="68"/>
      <c r="K686" s="89"/>
      <c r="L686" s="90"/>
      <c r="M686" s="20">
        <v>2</v>
      </c>
      <c r="N686" s="90"/>
      <c r="O686" s="90"/>
      <c r="P686" s="70" t="s">
        <v>1972</v>
      </c>
      <c r="Q686" s="68">
        <f>F686</f>
        <v>2</v>
      </c>
      <c r="R686" s="89" t="s">
        <v>2228</v>
      </c>
      <c r="S686" s="71">
        <f>F686+J686-K686+M686</f>
        <v>4</v>
      </c>
    </row>
    <row r="687" spans="1:19" ht="38.25">
      <c r="A687" s="64" t="s">
        <v>1729</v>
      </c>
      <c r="B687" s="65" t="s">
        <v>1730</v>
      </c>
      <c r="C687" s="65" t="s">
        <v>133</v>
      </c>
      <c r="D687" s="72" t="s">
        <v>1731</v>
      </c>
      <c r="E687" s="65" t="s">
        <v>253</v>
      </c>
      <c r="F687" s="65">
        <v>1</v>
      </c>
      <c r="G687" s="89"/>
      <c r="H687" s="89"/>
      <c r="I687" s="89"/>
      <c r="J687" s="68"/>
      <c r="K687" s="89"/>
      <c r="L687" s="90"/>
      <c r="M687" s="20"/>
      <c r="N687" s="90"/>
      <c r="O687" s="90"/>
      <c r="P687" s="76"/>
      <c r="Q687" s="90"/>
      <c r="R687" s="89"/>
      <c r="S687" s="95"/>
    </row>
    <row r="688" spans="1:19" ht="38.25">
      <c r="A688" s="64" t="s">
        <v>1732</v>
      </c>
      <c r="B688" s="65" t="s">
        <v>1733</v>
      </c>
      <c r="C688" s="65" t="s">
        <v>133</v>
      </c>
      <c r="D688" s="72" t="s">
        <v>1734</v>
      </c>
      <c r="E688" s="65" t="s">
        <v>253</v>
      </c>
      <c r="F688" s="65">
        <v>1</v>
      </c>
      <c r="G688" s="89"/>
      <c r="H688" s="89"/>
      <c r="I688" s="89"/>
      <c r="J688" s="68"/>
      <c r="K688" s="89"/>
      <c r="L688" s="90"/>
      <c r="M688" s="20"/>
      <c r="N688" s="90"/>
      <c r="O688" s="90"/>
      <c r="P688" s="76"/>
      <c r="Q688" s="90"/>
      <c r="R688" s="89"/>
      <c r="S688" s="95"/>
    </row>
    <row r="689" spans="1:19" ht="63.75">
      <c r="A689" s="64" t="s">
        <v>1735</v>
      </c>
      <c r="B689" s="65" t="s">
        <v>1736</v>
      </c>
      <c r="C689" s="65" t="s">
        <v>23</v>
      </c>
      <c r="D689" s="72" t="s">
        <v>1737</v>
      </c>
      <c r="E689" s="65" t="s">
        <v>48</v>
      </c>
      <c r="F689" s="65">
        <v>1</v>
      </c>
      <c r="G689" s="89"/>
      <c r="H689" s="89"/>
      <c r="I689" s="89"/>
      <c r="J689" s="68"/>
      <c r="K689" s="89"/>
      <c r="L689" s="90"/>
      <c r="M689" s="20"/>
      <c r="N689" s="90"/>
      <c r="O689" s="90"/>
      <c r="P689" s="76"/>
      <c r="Q689" s="90"/>
      <c r="R689" s="89"/>
      <c r="S689" s="95"/>
    </row>
    <row r="690" spans="1:19" ht="15">
      <c r="A690" s="64" t="s">
        <v>1738</v>
      </c>
      <c r="B690" s="65" t="s">
        <v>1739</v>
      </c>
      <c r="C690" s="65" t="s">
        <v>23</v>
      </c>
      <c r="D690" s="72" t="s">
        <v>1740</v>
      </c>
      <c r="E690" s="65" t="s">
        <v>1741</v>
      </c>
      <c r="F690" s="65">
        <v>90</v>
      </c>
      <c r="G690" s="89"/>
      <c r="H690" s="89"/>
      <c r="I690" s="89"/>
      <c r="J690" s="68"/>
      <c r="K690" s="89"/>
      <c r="L690" s="90"/>
      <c r="M690" s="20"/>
      <c r="N690" s="90"/>
      <c r="O690" s="90"/>
      <c r="P690" s="76"/>
      <c r="Q690" s="90"/>
      <c r="R690" s="89"/>
      <c r="S690" s="95"/>
    </row>
    <row r="691" spans="1:19" ht="51">
      <c r="A691" s="64" t="s">
        <v>1742</v>
      </c>
      <c r="B691" s="65" t="s">
        <v>1743</v>
      </c>
      <c r="C691" s="65" t="s">
        <v>200</v>
      </c>
      <c r="D691" s="72" t="s">
        <v>1744</v>
      </c>
      <c r="E691" s="65" t="s">
        <v>253</v>
      </c>
      <c r="F691" s="65">
        <v>1</v>
      </c>
      <c r="G691" s="89"/>
      <c r="H691" s="89"/>
      <c r="I691" s="89"/>
      <c r="J691" s="68"/>
      <c r="K691" s="89"/>
      <c r="L691" s="90"/>
      <c r="M691" s="20"/>
      <c r="N691" s="90"/>
      <c r="O691" s="90"/>
      <c r="P691" s="76"/>
      <c r="Q691" s="90"/>
      <c r="R691" s="89"/>
      <c r="S691" s="95"/>
    </row>
    <row r="692" spans="1:19" ht="51">
      <c r="A692" s="64" t="s">
        <v>1745</v>
      </c>
      <c r="B692" s="65" t="s">
        <v>1746</v>
      </c>
      <c r="C692" s="65" t="s">
        <v>200</v>
      </c>
      <c r="D692" s="72" t="s">
        <v>1747</v>
      </c>
      <c r="E692" s="65" t="s">
        <v>253</v>
      </c>
      <c r="F692" s="65">
        <v>1</v>
      </c>
      <c r="G692" s="89"/>
      <c r="H692" s="89"/>
      <c r="I692" s="89"/>
      <c r="J692" s="68"/>
      <c r="K692" s="89"/>
      <c r="L692" s="90"/>
      <c r="M692" s="20"/>
      <c r="N692" s="90"/>
      <c r="O692" s="90"/>
      <c r="P692" s="76"/>
      <c r="Q692" s="90"/>
      <c r="R692" s="89"/>
      <c r="S692" s="95"/>
    </row>
    <row r="693" spans="1:19" ht="51">
      <c r="A693" s="64" t="s">
        <v>1748</v>
      </c>
      <c r="B693" s="65" t="s">
        <v>1749</v>
      </c>
      <c r="C693" s="65" t="s">
        <v>200</v>
      </c>
      <c r="D693" s="72" t="s">
        <v>1750</v>
      </c>
      <c r="E693" s="65" t="s">
        <v>253</v>
      </c>
      <c r="F693" s="65">
        <v>1</v>
      </c>
      <c r="G693" s="89"/>
      <c r="H693" s="89"/>
      <c r="I693" s="89"/>
      <c r="J693" s="68"/>
      <c r="K693" s="89"/>
      <c r="L693" s="90"/>
      <c r="M693" s="20"/>
      <c r="N693" s="90"/>
      <c r="O693" s="90"/>
      <c r="P693" s="76"/>
      <c r="Q693" s="90"/>
      <c r="R693" s="89"/>
      <c r="S693" s="95"/>
    </row>
    <row r="694" spans="1:19" ht="51">
      <c r="A694" s="64" t="s">
        <v>1751</v>
      </c>
      <c r="B694" s="65" t="s">
        <v>1752</v>
      </c>
      <c r="C694" s="65" t="s">
        <v>200</v>
      </c>
      <c r="D694" s="72" t="s">
        <v>1753</v>
      </c>
      <c r="E694" s="65" t="s">
        <v>253</v>
      </c>
      <c r="F694" s="65">
        <v>1</v>
      </c>
      <c r="G694" s="89"/>
      <c r="H694" s="89"/>
      <c r="I694" s="89"/>
      <c r="J694" s="68"/>
      <c r="K694" s="89"/>
      <c r="L694" s="90"/>
      <c r="M694" s="20"/>
      <c r="N694" s="90"/>
      <c r="O694" s="90"/>
      <c r="P694" s="76"/>
      <c r="Q694" s="90"/>
      <c r="R694" s="89"/>
      <c r="S694" s="95"/>
    </row>
    <row r="695" spans="1:19" ht="51">
      <c r="A695" s="64" t="s">
        <v>1754</v>
      </c>
      <c r="B695" s="65" t="s">
        <v>1755</v>
      </c>
      <c r="C695" s="65" t="s">
        <v>200</v>
      </c>
      <c r="D695" s="72" t="s">
        <v>1756</v>
      </c>
      <c r="E695" s="65" t="s">
        <v>253</v>
      </c>
      <c r="F695" s="65">
        <v>1</v>
      </c>
      <c r="G695" s="89"/>
      <c r="H695" s="89"/>
      <c r="I695" s="89"/>
      <c r="J695" s="68"/>
      <c r="K695" s="89"/>
      <c r="L695" s="90"/>
      <c r="M695" s="20"/>
      <c r="N695" s="90"/>
      <c r="O695" s="90"/>
      <c r="P695" s="76"/>
      <c r="Q695" s="90"/>
      <c r="R695" s="89"/>
      <c r="S695" s="95"/>
    </row>
    <row r="696" spans="1:19" ht="51">
      <c r="A696" s="64" t="s">
        <v>1757</v>
      </c>
      <c r="B696" s="65" t="s">
        <v>1758</v>
      </c>
      <c r="C696" s="65" t="s">
        <v>200</v>
      </c>
      <c r="D696" s="72" t="s">
        <v>1759</v>
      </c>
      <c r="E696" s="65" t="s">
        <v>253</v>
      </c>
      <c r="F696" s="65">
        <v>1</v>
      </c>
      <c r="G696" s="89"/>
      <c r="H696" s="89"/>
      <c r="I696" s="89"/>
      <c r="J696" s="68"/>
      <c r="K696" s="89"/>
      <c r="L696" s="90"/>
      <c r="M696" s="20"/>
      <c r="N696" s="90"/>
      <c r="O696" s="90"/>
      <c r="P696" s="76"/>
      <c r="Q696" s="90"/>
      <c r="R696" s="89"/>
      <c r="S696" s="95"/>
    </row>
    <row r="697" spans="1:19" ht="25.5">
      <c r="A697" s="64" t="s">
        <v>1760</v>
      </c>
      <c r="B697" s="65" t="s">
        <v>1761</v>
      </c>
      <c r="C697" s="65" t="s">
        <v>200</v>
      </c>
      <c r="D697" s="72" t="s">
        <v>1762</v>
      </c>
      <c r="E697" s="65" t="s">
        <v>253</v>
      </c>
      <c r="F697" s="65">
        <v>4</v>
      </c>
      <c r="G697" s="89"/>
      <c r="H697" s="89"/>
      <c r="I697" s="89"/>
      <c r="J697" s="68"/>
      <c r="K697" s="89"/>
      <c r="L697" s="90"/>
      <c r="M697" s="20"/>
      <c r="N697" s="90"/>
      <c r="O697" s="90"/>
      <c r="P697" s="76"/>
      <c r="Q697" s="90"/>
      <c r="R697" s="89"/>
      <c r="S697" s="95"/>
    </row>
    <row r="698" spans="1:19" ht="25.5">
      <c r="A698" s="64" t="s">
        <v>1763</v>
      </c>
      <c r="B698" s="65" t="s">
        <v>1764</v>
      </c>
      <c r="C698" s="65" t="s">
        <v>200</v>
      </c>
      <c r="D698" s="72" t="s">
        <v>1765</v>
      </c>
      <c r="E698" s="65" t="s">
        <v>253</v>
      </c>
      <c r="F698" s="65">
        <v>14</v>
      </c>
      <c r="G698" s="89"/>
      <c r="H698" s="89"/>
      <c r="I698" s="89"/>
      <c r="J698" s="68"/>
      <c r="K698" s="89"/>
      <c r="L698" s="90"/>
      <c r="M698" s="20"/>
      <c r="N698" s="90"/>
      <c r="O698" s="90"/>
      <c r="P698" s="76"/>
      <c r="Q698" s="90"/>
      <c r="R698" s="89"/>
      <c r="S698" s="95"/>
    </row>
    <row r="699" spans="1:19" ht="25.5">
      <c r="A699" s="64" t="s">
        <v>1763</v>
      </c>
      <c r="B699" s="65" t="s">
        <v>1766</v>
      </c>
      <c r="C699" s="65" t="s">
        <v>200</v>
      </c>
      <c r="D699" s="72" t="s">
        <v>1767</v>
      </c>
      <c r="E699" s="65" t="s">
        <v>253</v>
      </c>
      <c r="F699" s="65">
        <v>14</v>
      </c>
      <c r="G699" s="89"/>
      <c r="H699" s="89"/>
      <c r="I699" s="89"/>
      <c r="J699" s="68"/>
      <c r="K699" s="89"/>
      <c r="L699" s="90"/>
      <c r="M699" s="20"/>
      <c r="N699" s="90"/>
      <c r="O699" s="90"/>
      <c r="P699" s="76"/>
      <c r="Q699" s="90"/>
      <c r="R699" s="89"/>
      <c r="S699" s="95"/>
    </row>
    <row r="700" spans="1:19" ht="25.5">
      <c r="A700" s="64" t="s">
        <v>1768</v>
      </c>
      <c r="B700" s="65" t="s">
        <v>1769</v>
      </c>
      <c r="C700" s="65" t="s">
        <v>200</v>
      </c>
      <c r="D700" s="72" t="s">
        <v>1770</v>
      </c>
      <c r="E700" s="65" t="s">
        <v>253</v>
      </c>
      <c r="F700" s="65">
        <v>19</v>
      </c>
      <c r="G700" s="89"/>
      <c r="H700" s="89"/>
      <c r="I700" s="89"/>
      <c r="J700" s="68"/>
      <c r="K700" s="89"/>
      <c r="L700" s="90"/>
      <c r="M700" s="20"/>
      <c r="N700" s="90"/>
      <c r="O700" s="90"/>
      <c r="P700" s="76"/>
      <c r="Q700" s="90"/>
      <c r="R700" s="89"/>
      <c r="S700" s="95"/>
    </row>
    <row r="701" spans="1:19" ht="25.5">
      <c r="A701" s="64" t="s">
        <v>1771</v>
      </c>
      <c r="B701" s="65" t="s">
        <v>1772</v>
      </c>
      <c r="C701" s="65" t="s">
        <v>200</v>
      </c>
      <c r="D701" s="72" t="s">
        <v>1773</v>
      </c>
      <c r="E701" s="65" t="s">
        <v>253</v>
      </c>
      <c r="F701" s="65">
        <v>7</v>
      </c>
      <c r="G701" s="89"/>
      <c r="H701" s="89"/>
      <c r="I701" s="89"/>
      <c r="J701" s="68"/>
      <c r="K701" s="89"/>
      <c r="L701" s="90"/>
      <c r="M701" s="20"/>
      <c r="N701" s="90"/>
      <c r="O701" s="90"/>
      <c r="P701" s="76"/>
      <c r="Q701" s="90"/>
      <c r="R701" s="89"/>
      <c r="S701" s="95"/>
    </row>
    <row r="702" spans="1:19" ht="25.5">
      <c r="A702" s="64" t="s">
        <v>1774</v>
      </c>
      <c r="B702" s="65" t="s">
        <v>1775</v>
      </c>
      <c r="C702" s="65" t="s">
        <v>200</v>
      </c>
      <c r="D702" s="72" t="s">
        <v>1776</v>
      </c>
      <c r="E702" s="65" t="s">
        <v>253</v>
      </c>
      <c r="F702" s="65">
        <v>3</v>
      </c>
      <c r="G702" s="89"/>
      <c r="H702" s="89"/>
      <c r="I702" s="89"/>
      <c r="J702" s="68"/>
      <c r="K702" s="89"/>
      <c r="L702" s="90"/>
      <c r="M702" s="20"/>
      <c r="N702" s="90"/>
      <c r="O702" s="90"/>
      <c r="P702" s="76"/>
      <c r="Q702" s="90"/>
      <c r="R702" s="89"/>
      <c r="S702" s="95"/>
    </row>
    <row r="703" spans="1:19" ht="25.5">
      <c r="A703" s="64" t="s">
        <v>1777</v>
      </c>
      <c r="B703" s="65" t="s">
        <v>1778</v>
      </c>
      <c r="C703" s="65" t="s">
        <v>200</v>
      </c>
      <c r="D703" s="72" t="s">
        <v>1779</v>
      </c>
      <c r="E703" s="65" t="s">
        <v>253</v>
      </c>
      <c r="F703" s="65">
        <v>2</v>
      </c>
      <c r="G703" s="89"/>
      <c r="H703" s="89"/>
      <c r="I703" s="89"/>
      <c r="J703" s="68"/>
      <c r="K703" s="89"/>
      <c r="L703" s="90"/>
      <c r="M703" s="20"/>
      <c r="N703" s="90"/>
      <c r="O703" s="90"/>
      <c r="P703" s="76"/>
      <c r="Q703" s="90"/>
      <c r="R703" s="89"/>
      <c r="S703" s="95"/>
    </row>
    <row r="704" spans="1:19" ht="25.5">
      <c r="A704" s="64" t="s">
        <v>1780</v>
      </c>
      <c r="B704" s="65" t="s">
        <v>1781</v>
      </c>
      <c r="C704" s="65" t="s">
        <v>200</v>
      </c>
      <c r="D704" s="72" t="s">
        <v>1782</v>
      </c>
      <c r="E704" s="65" t="s">
        <v>253</v>
      </c>
      <c r="F704" s="65">
        <v>3</v>
      </c>
      <c r="G704" s="89"/>
      <c r="H704" s="89"/>
      <c r="I704" s="89"/>
      <c r="J704" s="68"/>
      <c r="K704" s="89"/>
      <c r="L704" s="90"/>
      <c r="M704" s="20"/>
      <c r="N704" s="90"/>
      <c r="O704" s="90"/>
      <c r="P704" s="76"/>
      <c r="Q704" s="90"/>
      <c r="R704" s="89"/>
      <c r="S704" s="95"/>
    </row>
    <row r="705" spans="1:21" ht="25.5">
      <c r="A705" s="64" t="s">
        <v>1783</v>
      </c>
      <c r="B705" s="65" t="s">
        <v>1784</v>
      </c>
      <c r="C705" s="65" t="s">
        <v>200</v>
      </c>
      <c r="D705" s="72" t="s">
        <v>1785</v>
      </c>
      <c r="E705" s="65" t="s">
        <v>253</v>
      </c>
      <c r="F705" s="65">
        <v>5</v>
      </c>
      <c r="G705" s="89"/>
      <c r="H705" s="89"/>
      <c r="I705" s="89"/>
      <c r="J705" s="68"/>
      <c r="K705" s="89"/>
      <c r="L705" s="90"/>
      <c r="M705" s="20"/>
      <c r="N705" s="90"/>
      <c r="O705" s="90"/>
      <c r="P705" s="76"/>
      <c r="Q705" s="90"/>
      <c r="R705" s="89"/>
      <c r="S705" s="95"/>
    </row>
    <row r="706" spans="1:21" ht="25.5">
      <c r="A706" s="64" t="s">
        <v>1786</v>
      </c>
      <c r="B706" s="65" t="s">
        <v>1787</v>
      </c>
      <c r="C706" s="65" t="s">
        <v>200</v>
      </c>
      <c r="D706" s="72" t="s">
        <v>1788</v>
      </c>
      <c r="E706" s="65" t="s">
        <v>253</v>
      </c>
      <c r="F706" s="65">
        <v>6</v>
      </c>
      <c r="G706" s="89"/>
      <c r="H706" s="89"/>
      <c r="I706" s="89"/>
      <c r="J706" s="68"/>
      <c r="K706" s="89"/>
      <c r="L706" s="90"/>
      <c r="M706" s="20"/>
      <c r="N706" s="90"/>
      <c r="O706" s="90"/>
      <c r="P706" s="76"/>
      <c r="Q706" s="90"/>
      <c r="R706" s="89"/>
      <c r="S706" s="95"/>
    </row>
    <row r="707" spans="1:21" ht="25.5">
      <c r="A707" s="64" t="s">
        <v>1789</v>
      </c>
      <c r="B707" s="65" t="s">
        <v>1790</v>
      </c>
      <c r="C707" s="65" t="s">
        <v>200</v>
      </c>
      <c r="D707" s="72" t="s">
        <v>1791</v>
      </c>
      <c r="E707" s="65" t="s">
        <v>253</v>
      </c>
      <c r="F707" s="65">
        <v>25</v>
      </c>
      <c r="G707" s="89"/>
      <c r="H707" s="89"/>
      <c r="I707" s="89"/>
      <c r="J707" s="68"/>
      <c r="K707" s="89"/>
      <c r="L707" s="90"/>
      <c r="M707" s="20"/>
      <c r="N707" s="90"/>
      <c r="O707" s="90"/>
      <c r="P707" s="76"/>
      <c r="Q707" s="90"/>
      <c r="R707" s="89"/>
      <c r="S707" s="95"/>
    </row>
    <row r="708" spans="1:21" ht="25.5">
      <c r="A708" s="64" t="s">
        <v>1792</v>
      </c>
      <c r="B708" s="65" t="s">
        <v>1793</v>
      </c>
      <c r="C708" s="65" t="s">
        <v>200</v>
      </c>
      <c r="D708" s="72" t="s">
        <v>1794</v>
      </c>
      <c r="E708" s="65" t="s">
        <v>253</v>
      </c>
      <c r="F708" s="65">
        <v>17</v>
      </c>
      <c r="G708" s="89"/>
      <c r="H708" s="89"/>
      <c r="I708" s="89"/>
      <c r="J708" s="68"/>
      <c r="K708" s="89"/>
      <c r="L708" s="90"/>
      <c r="M708" s="20"/>
      <c r="N708" s="90"/>
      <c r="O708" s="90"/>
      <c r="P708" s="76"/>
      <c r="Q708" s="90"/>
      <c r="R708" s="89"/>
      <c r="S708" s="95"/>
    </row>
    <row r="709" spans="1:21" ht="25.5">
      <c r="A709" s="64" t="s">
        <v>1795</v>
      </c>
      <c r="B709" s="65" t="s">
        <v>1796</v>
      </c>
      <c r="C709" s="65" t="s">
        <v>200</v>
      </c>
      <c r="D709" s="72" t="s">
        <v>1797</v>
      </c>
      <c r="E709" s="65" t="s">
        <v>253</v>
      </c>
      <c r="F709" s="65">
        <v>19</v>
      </c>
      <c r="G709" s="89"/>
      <c r="H709" s="89"/>
      <c r="I709" s="89"/>
      <c r="J709" s="68"/>
      <c r="K709" s="89"/>
      <c r="L709" s="90"/>
      <c r="M709" s="20"/>
      <c r="N709" s="90"/>
      <c r="O709" s="90"/>
      <c r="P709" s="76"/>
      <c r="Q709" s="90"/>
      <c r="R709" s="89"/>
      <c r="S709" s="95"/>
    </row>
    <row r="710" spans="1:21" ht="25.5">
      <c r="A710" s="64" t="s">
        <v>1798</v>
      </c>
      <c r="B710" s="65" t="s">
        <v>1799</v>
      </c>
      <c r="C710" s="65" t="s">
        <v>200</v>
      </c>
      <c r="D710" s="72" t="s">
        <v>1800</v>
      </c>
      <c r="E710" s="65" t="s">
        <v>253</v>
      </c>
      <c r="F710" s="65">
        <v>10</v>
      </c>
      <c r="G710" s="89"/>
      <c r="H710" s="89"/>
      <c r="I710" s="89"/>
      <c r="J710" s="68"/>
      <c r="K710" s="89"/>
      <c r="L710" s="90"/>
      <c r="M710" s="20"/>
      <c r="N710" s="90"/>
      <c r="O710" s="90"/>
      <c r="P710" s="76"/>
      <c r="Q710" s="90"/>
      <c r="R710" s="89"/>
      <c r="S710" s="95"/>
    </row>
    <row r="711" spans="1:21" ht="25.5">
      <c r="A711" s="64" t="s">
        <v>1801</v>
      </c>
      <c r="B711" s="65" t="s">
        <v>1802</v>
      </c>
      <c r="C711" s="65" t="s">
        <v>200</v>
      </c>
      <c r="D711" s="72" t="s">
        <v>1803</v>
      </c>
      <c r="E711" s="65" t="s">
        <v>253</v>
      </c>
      <c r="F711" s="65">
        <v>6</v>
      </c>
      <c r="G711" s="89"/>
      <c r="H711" s="89"/>
      <c r="I711" s="89"/>
      <c r="J711" s="68"/>
      <c r="K711" s="89"/>
      <c r="L711" s="90"/>
      <c r="M711" s="20"/>
      <c r="N711" s="90"/>
      <c r="O711" s="90"/>
      <c r="P711" s="76"/>
      <c r="Q711" s="90"/>
      <c r="R711" s="89"/>
      <c r="S711" s="95"/>
    </row>
    <row r="712" spans="1:21">
      <c r="A712" s="60">
        <v>23</v>
      </c>
      <c r="B712" s="21"/>
      <c r="C712" s="21"/>
      <c r="D712" s="61" t="s">
        <v>1804</v>
      </c>
      <c r="E712" s="21"/>
      <c r="F712" s="21"/>
      <c r="G712" s="89"/>
      <c r="H712" s="89"/>
      <c r="I712" s="89"/>
      <c r="J712" s="77"/>
      <c r="K712" s="91"/>
      <c r="L712" s="92"/>
      <c r="M712" s="13"/>
      <c r="N712" s="92"/>
      <c r="O712" s="13"/>
      <c r="P712" s="93"/>
      <c r="Q712" s="92"/>
      <c r="R712" s="91"/>
      <c r="S712" s="94"/>
    </row>
    <row r="713" spans="1:21" ht="51">
      <c r="A713" s="107" t="s">
        <v>1805</v>
      </c>
      <c r="B713" s="108">
        <v>12</v>
      </c>
      <c r="C713" s="109" t="s">
        <v>1806</v>
      </c>
      <c r="D713" s="110" t="s">
        <v>1807</v>
      </c>
      <c r="E713" s="109" t="s">
        <v>25</v>
      </c>
      <c r="F713" s="109">
        <v>0</v>
      </c>
      <c r="G713" s="89"/>
      <c r="H713" s="89"/>
      <c r="I713" s="89"/>
      <c r="J713" s="89"/>
      <c r="K713" s="89"/>
      <c r="L713" s="68">
        <v>4070.35</v>
      </c>
      <c r="M713" s="68"/>
      <c r="N713" s="68"/>
      <c r="O713" s="20"/>
      <c r="P713" s="76" t="s">
        <v>2229</v>
      </c>
      <c r="Q713" s="90">
        <v>0</v>
      </c>
      <c r="R713" s="68">
        <v>4070.35</v>
      </c>
      <c r="S713" s="71">
        <f>O713+L713</f>
        <v>4070.35</v>
      </c>
    </row>
    <row r="714" spans="1:21" ht="63.75">
      <c r="A714" s="107" t="s">
        <v>1808</v>
      </c>
      <c r="B714" s="111" t="s">
        <v>1809</v>
      </c>
      <c r="C714" s="109" t="s">
        <v>1810</v>
      </c>
      <c r="D714" s="112" t="s">
        <v>1811</v>
      </c>
      <c r="E714" s="109" t="s">
        <v>25</v>
      </c>
      <c r="F714" s="109">
        <v>0</v>
      </c>
      <c r="G714" s="89"/>
      <c r="H714" s="89"/>
      <c r="I714" s="89"/>
      <c r="J714" s="89"/>
      <c r="K714" s="89"/>
      <c r="L714" s="68">
        <v>186.15</v>
      </c>
      <c r="M714" s="20">
        <v>311.36</v>
      </c>
      <c r="N714" s="68"/>
      <c r="O714" s="102"/>
      <c r="P714" s="76" t="s">
        <v>2229</v>
      </c>
      <c r="Q714" s="90">
        <v>0</v>
      </c>
      <c r="R714" s="68" t="s">
        <v>2498</v>
      </c>
      <c r="S714" s="71">
        <f>M714+L714</f>
        <v>497.51</v>
      </c>
    </row>
    <row r="715" spans="1:21" ht="25.5">
      <c r="A715" s="107" t="s">
        <v>1812</v>
      </c>
      <c r="B715" s="109">
        <v>92273</v>
      </c>
      <c r="C715" s="109" t="s">
        <v>133</v>
      </c>
      <c r="D715" s="110" t="s">
        <v>2230</v>
      </c>
      <c r="E715" s="109" t="s">
        <v>107</v>
      </c>
      <c r="F715" s="109">
        <v>0</v>
      </c>
      <c r="G715" s="89"/>
      <c r="H715" s="89"/>
      <c r="I715" s="89"/>
      <c r="J715" s="89"/>
      <c r="K715" s="89"/>
      <c r="L715" s="68">
        <v>2150.1999999999998</v>
      </c>
      <c r="M715" s="20"/>
      <c r="N715" s="68"/>
      <c r="O715" s="102"/>
      <c r="P715" s="76" t="s">
        <v>2229</v>
      </c>
      <c r="Q715" s="90">
        <v>0</v>
      </c>
      <c r="R715" s="68">
        <f>L715</f>
        <v>2150.1999999999998</v>
      </c>
      <c r="S715" s="71">
        <f>R715</f>
        <v>2150.1999999999998</v>
      </c>
      <c r="U715" s="47" t="s">
        <v>2231</v>
      </c>
    </row>
    <row r="716" spans="1:21" ht="25.5">
      <c r="A716" s="107" t="s">
        <v>1813</v>
      </c>
      <c r="B716" s="109">
        <v>5</v>
      </c>
      <c r="C716" s="109" t="s">
        <v>1806</v>
      </c>
      <c r="D716" s="110" t="s">
        <v>1814</v>
      </c>
      <c r="E716" s="109" t="s">
        <v>107</v>
      </c>
      <c r="F716" s="109">
        <v>0</v>
      </c>
      <c r="G716" s="89"/>
      <c r="H716" s="89"/>
      <c r="I716" s="89"/>
      <c r="J716" s="89"/>
      <c r="K716" s="89"/>
      <c r="L716" s="68">
        <v>165</v>
      </c>
      <c r="M716" s="20"/>
      <c r="N716" s="68"/>
      <c r="O716" s="102"/>
      <c r="P716" s="76" t="s">
        <v>2229</v>
      </c>
      <c r="Q716" s="90">
        <v>0</v>
      </c>
      <c r="R716" s="68">
        <f>L716</f>
        <v>165</v>
      </c>
      <c r="S716" s="71">
        <f>R716</f>
        <v>165</v>
      </c>
    </row>
    <row r="717" spans="1:21" ht="25.5">
      <c r="A717" s="107" t="s">
        <v>1815</v>
      </c>
      <c r="B717" s="109">
        <v>10219</v>
      </c>
      <c r="C717" s="109" t="s">
        <v>1810</v>
      </c>
      <c r="D717" s="110" t="s">
        <v>1816</v>
      </c>
      <c r="E717" s="109" t="s">
        <v>38</v>
      </c>
      <c r="F717" s="109">
        <v>0</v>
      </c>
      <c r="G717" s="89"/>
      <c r="H717" s="89"/>
      <c r="I717" s="89"/>
      <c r="J717" s="89"/>
      <c r="K717" s="89"/>
      <c r="L717" s="68">
        <v>97.07</v>
      </c>
      <c r="M717" s="20"/>
      <c r="N717" s="68"/>
      <c r="O717" s="102"/>
      <c r="P717" s="76" t="s">
        <v>2229</v>
      </c>
      <c r="Q717" s="90">
        <v>0</v>
      </c>
      <c r="R717" s="68">
        <f>L717</f>
        <v>97.07</v>
      </c>
      <c r="S717" s="71">
        <f>R717</f>
        <v>97.07</v>
      </c>
      <c r="U717" s="47" t="s">
        <v>2232</v>
      </c>
    </row>
    <row r="718" spans="1:21" ht="63.75">
      <c r="A718" s="107" t="s">
        <v>1817</v>
      </c>
      <c r="B718" s="109">
        <v>1</v>
      </c>
      <c r="C718" s="109" t="s">
        <v>1806</v>
      </c>
      <c r="D718" s="110" t="s">
        <v>1818</v>
      </c>
      <c r="E718" s="109" t="s">
        <v>107</v>
      </c>
      <c r="F718" s="109">
        <v>0</v>
      </c>
      <c r="G718" s="89"/>
      <c r="H718" s="89"/>
      <c r="I718" s="89"/>
      <c r="J718" s="89"/>
      <c r="K718" s="89"/>
      <c r="L718" s="68">
        <v>19.649999999999999</v>
      </c>
      <c r="M718" s="20"/>
      <c r="N718" s="68"/>
      <c r="O718" s="102"/>
      <c r="P718" s="76" t="s">
        <v>2229</v>
      </c>
      <c r="Q718" s="90">
        <v>0</v>
      </c>
      <c r="R718" s="68">
        <f>L718</f>
        <v>19.649999999999999</v>
      </c>
      <c r="S718" s="71">
        <f>R718</f>
        <v>19.649999999999999</v>
      </c>
    </row>
    <row r="719" spans="1:21" ht="38.25">
      <c r="A719" s="113" t="s">
        <v>1819</v>
      </c>
      <c r="B719" s="109">
        <v>2</v>
      </c>
      <c r="C719" s="109" t="s">
        <v>1806</v>
      </c>
      <c r="D719" s="114" t="s">
        <v>1820</v>
      </c>
      <c r="E719" s="109" t="s">
        <v>25</v>
      </c>
      <c r="F719" s="109">
        <v>0</v>
      </c>
      <c r="G719" s="89"/>
      <c r="H719" s="89"/>
      <c r="I719" s="89"/>
      <c r="J719" s="89"/>
      <c r="K719" s="89"/>
      <c r="L719" s="68">
        <v>665.94</v>
      </c>
      <c r="M719" s="20">
        <v>348.12</v>
      </c>
      <c r="N719" s="68"/>
      <c r="O719" s="102"/>
      <c r="P719" s="76" t="s">
        <v>2229</v>
      </c>
      <c r="Q719" s="90">
        <v>0</v>
      </c>
      <c r="R719" s="68" t="s">
        <v>2233</v>
      </c>
      <c r="S719" s="71">
        <f>M719+L719</f>
        <v>1014.0600000000001</v>
      </c>
      <c r="T719" s="47">
        <v>0</v>
      </c>
      <c r="U719" s="47">
        <f>(216.28+28.5)*1.5</f>
        <v>367.17</v>
      </c>
    </row>
    <row r="720" spans="1:21" ht="63.75">
      <c r="A720" s="113" t="s">
        <v>1821</v>
      </c>
      <c r="B720" s="109">
        <v>4</v>
      </c>
      <c r="C720" s="109" t="s">
        <v>1806</v>
      </c>
      <c r="D720" s="114" t="s">
        <v>1822</v>
      </c>
      <c r="E720" s="109" t="s">
        <v>25</v>
      </c>
      <c r="F720" s="109">
        <v>0</v>
      </c>
      <c r="G720" s="89"/>
      <c r="H720" s="89"/>
      <c r="I720" s="89"/>
      <c r="J720" s="89"/>
      <c r="K720" s="89"/>
      <c r="L720" s="68">
        <v>3618.28</v>
      </c>
      <c r="M720" s="20"/>
      <c r="N720" s="68"/>
      <c r="O720" s="102"/>
      <c r="P720" s="76" t="s">
        <v>2229</v>
      </c>
      <c r="Q720" s="90">
        <v>0</v>
      </c>
      <c r="R720" s="68">
        <f>L720</f>
        <v>3618.28</v>
      </c>
      <c r="S720" s="71">
        <f>R720</f>
        <v>3618.28</v>
      </c>
      <c r="T720" s="47">
        <v>0</v>
      </c>
    </row>
    <row r="721" spans="1:21" ht="51">
      <c r="A721" s="113" t="s">
        <v>1823</v>
      </c>
      <c r="B721" s="109">
        <v>3</v>
      </c>
      <c r="C721" s="109" t="s">
        <v>1806</v>
      </c>
      <c r="D721" s="115" t="s">
        <v>1824</v>
      </c>
      <c r="E721" s="109" t="s">
        <v>25</v>
      </c>
      <c r="F721" s="109">
        <v>0</v>
      </c>
      <c r="G721" s="89"/>
      <c r="H721" s="89"/>
      <c r="I721" s="89"/>
      <c r="J721" s="89"/>
      <c r="K721" s="89"/>
      <c r="L721" s="68">
        <v>230.17</v>
      </c>
      <c r="M721" s="20"/>
      <c r="N721" s="68"/>
      <c r="O721" s="102"/>
      <c r="P721" s="76" t="s">
        <v>2229</v>
      </c>
      <c r="Q721" s="90">
        <v>0</v>
      </c>
      <c r="R721" s="68">
        <f>L721</f>
        <v>230.17</v>
      </c>
      <c r="S721" s="71">
        <f>R721</f>
        <v>230.17</v>
      </c>
    </row>
    <row r="722" spans="1:21" ht="76.5">
      <c r="A722" s="113" t="s">
        <v>1825</v>
      </c>
      <c r="B722" s="109">
        <v>170563</v>
      </c>
      <c r="C722" s="109" t="s">
        <v>1810</v>
      </c>
      <c r="D722" s="110" t="s">
        <v>1826</v>
      </c>
      <c r="E722" s="109" t="s">
        <v>202</v>
      </c>
      <c r="F722" s="109">
        <v>0</v>
      </c>
      <c r="G722" s="89"/>
      <c r="H722" s="89"/>
      <c r="I722" s="89"/>
      <c r="J722" s="89"/>
      <c r="K722" s="89"/>
      <c r="L722" s="68">
        <v>2</v>
      </c>
      <c r="M722" s="20"/>
      <c r="N722" s="68"/>
      <c r="O722" s="102"/>
      <c r="P722" s="76" t="s">
        <v>2229</v>
      </c>
      <c r="Q722" s="90">
        <v>0</v>
      </c>
      <c r="R722" s="68">
        <f>L722</f>
        <v>2</v>
      </c>
      <c r="S722" s="71">
        <f>R722</f>
        <v>2</v>
      </c>
    </row>
    <row r="723" spans="1:21" ht="76.5">
      <c r="A723" s="113" t="s">
        <v>1827</v>
      </c>
      <c r="B723" s="108">
        <v>103925</v>
      </c>
      <c r="C723" s="109" t="s">
        <v>133</v>
      </c>
      <c r="D723" s="110" t="s">
        <v>1828</v>
      </c>
      <c r="E723" s="109" t="s">
        <v>202</v>
      </c>
      <c r="F723" s="109">
        <v>0</v>
      </c>
      <c r="G723" s="89"/>
      <c r="H723" s="89"/>
      <c r="I723" s="89"/>
      <c r="J723" s="89"/>
      <c r="K723" s="89"/>
      <c r="L723" s="68">
        <v>10</v>
      </c>
      <c r="M723" s="20">
        <v>20</v>
      </c>
      <c r="N723" s="68"/>
      <c r="O723" s="102"/>
      <c r="P723" s="76" t="s">
        <v>2229</v>
      </c>
      <c r="Q723" s="90">
        <v>0</v>
      </c>
      <c r="R723" s="68" t="s">
        <v>2234</v>
      </c>
      <c r="S723" s="71">
        <v>25</v>
      </c>
    </row>
    <row r="724" spans="1:21" ht="25.5">
      <c r="A724" s="113" t="s">
        <v>1829</v>
      </c>
      <c r="B724" s="109">
        <v>10212</v>
      </c>
      <c r="C724" s="109" t="s">
        <v>1810</v>
      </c>
      <c r="D724" s="112" t="s">
        <v>2235</v>
      </c>
      <c r="E724" s="109" t="s">
        <v>25</v>
      </c>
      <c r="F724" s="109">
        <v>0</v>
      </c>
      <c r="G724" s="89"/>
      <c r="H724" s="89"/>
      <c r="I724" s="89"/>
      <c r="J724" s="89"/>
      <c r="K724" s="89"/>
      <c r="L724" s="68">
        <v>580</v>
      </c>
      <c r="M724" s="20"/>
      <c r="N724" s="68"/>
      <c r="O724" s="102"/>
      <c r="P724" s="76" t="s">
        <v>2229</v>
      </c>
      <c r="Q724" s="90">
        <v>0</v>
      </c>
      <c r="R724" s="68">
        <f t="shared" ref="R724:R731" si="2">L724</f>
        <v>580</v>
      </c>
      <c r="S724" s="71">
        <f t="shared" ref="S724:S731" si="3">R724</f>
        <v>580</v>
      </c>
    </row>
    <row r="725" spans="1:21" ht="15">
      <c r="A725" s="113" t="s">
        <v>1830</v>
      </c>
      <c r="B725" s="109">
        <v>10501</v>
      </c>
      <c r="C725" s="109" t="s">
        <v>1810</v>
      </c>
      <c r="D725" s="116" t="s">
        <v>1831</v>
      </c>
      <c r="E725" s="109" t="s">
        <v>25</v>
      </c>
      <c r="F725" s="109">
        <v>0</v>
      </c>
      <c r="G725" s="89"/>
      <c r="H725" s="89"/>
      <c r="I725" s="89"/>
      <c r="J725" s="89"/>
      <c r="K725" s="89"/>
      <c r="L725" s="68">
        <v>52.25</v>
      </c>
      <c r="M725" s="20"/>
      <c r="N725" s="68"/>
      <c r="O725" s="102"/>
      <c r="P725" s="76" t="s">
        <v>2229</v>
      </c>
      <c r="Q725" s="90">
        <v>0</v>
      </c>
      <c r="R725" s="68">
        <f t="shared" si="2"/>
        <v>52.25</v>
      </c>
      <c r="S725" s="71">
        <f t="shared" si="3"/>
        <v>52.25</v>
      </c>
    </row>
    <row r="726" spans="1:21" ht="51">
      <c r="A726" s="113" t="s">
        <v>1832</v>
      </c>
      <c r="B726" s="109">
        <v>100651</v>
      </c>
      <c r="C726" s="109" t="s">
        <v>133</v>
      </c>
      <c r="D726" s="112" t="s">
        <v>1833</v>
      </c>
      <c r="E726" s="109" t="s">
        <v>107</v>
      </c>
      <c r="F726" s="109">
        <v>0</v>
      </c>
      <c r="G726" s="89"/>
      <c r="H726" s="89"/>
      <c r="I726" s="89"/>
      <c r="J726" s="89"/>
      <c r="K726" s="89"/>
      <c r="L726" s="68">
        <v>198</v>
      </c>
      <c r="M726" s="20"/>
      <c r="N726" s="68"/>
      <c r="O726" s="102"/>
      <c r="P726" s="76" t="s">
        <v>2229</v>
      </c>
      <c r="Q726" s="90">
        <v>0</v>
      </c>
      <c r="R726" s="68">
        <f t="shared" si="2"/>
        <v>198</v>
      </c>
      <c r="S726" s="71">
        <f t="shared" si="3"/>
        <v>198</v>
      </c>
    </row>
    <row r="727" spans="1:21" ht="38.25">
      <c r="A727" s="113" t="s">
        <v>1834</v>
      </c>
      <c r="B727" s="109">
        <v>95601</v>
      </c>
      <c r="C727" s="109" t="s">
        <v>133</v>
      </c>
      <c r="D727" s="112" t="s">
        <v>1835</v>
      </c>
      <c r="E727" s="109" t="s">
        <v>48</v>
      </c>
      <c r="F727" s="109">
        <v>0</v>
      </c>
      <c r="G727" s="89"/>
      <c r="H727" s="89"/>
      <c r="I727" s="89"/>
      <c r="J727" s="68"/>
      <c r="K727" s="89"/>
      <c r="L727" s="68">
        <v>44</v>
      </c>
      <c r="M727" s="20"/>
      <c r="N727" s="68"/>
      <c r="O727" s="102"/>
      <c r="P727" s="76" t="s">
        <v>2229</v>
      </c>
      <c r="Q727" s="90">
        <v>0</v>
      </c>
      <c r="R727" s="68">
        <f t="shared" si="2"/>
        <v>44</v>
      </c>
      <c r="S727" s="71">
        <f t="shared" si="3"/>
        <v>44</v>
      </c>
    </row>
    <row r="728" spans="1:21" ht="25.5">
      <c r="A728" s="113" t="s">
        <v>1836</v>
      </c>
      <c r="B728" s="65">
        <v>92800</v>
      </c>
      <c r="C728" s="65" t="s">
        <v>133</v>
      </c>
      <c r="D728" s="72" t="s">
        <v>1837</v>
      </c>
      <c r="E728" s="65" t="s">
        <v>160</v>
      </c>
      <c r="F728" s="109">
        <v>0</v>
      </c>
      <c r="G728" s="89"/>
      <c r="H728" s="89"/>
      <c r="I728" s="89"/>
      <c r="J728" s="68"/>
      <c r="K728" s="89"/>
      <c r="L728" s="68">
        <v>302.60000000000002</v>
      </c>
      <c r="M728" s="20"/>
      <c r="N728" s="68"/>
      <c r="O728" s="102"/>
      <c r="P728" s="76" t="s">
        <v>2229</v>
      </c>
      <c r="Q728" s="90">
        <v>0</v>
      </c>
      <c r="R728" s="68">
        <f t="shared" si="2"/>
        <v>302.60000000000002</v>
      </c>
      <c r="S728" s="71">
        <f t="shared" si="3"/>
        <v>302.60000000000002</v>
      </c>
    </row>
    <row r="729" spans="1:21" ht="25.5">
      <c r="A729" s="113" t="s">
        <v>1838</v>
      </c>
      <c r="B729" s="65">
        <v>6</v>
      </c>
      <c r="C729" s="65" t="s">
        <v>1806</v>
      </c>
      <c r="D729" s="72" t="s">
        <v>1110</v>
      </c>
      <c r="E729" s="65" t="s">
        <v>48</v>
      </c>
      <c r="F729" s="109">
        <v>0</v>
      </c>
      <c r="G729" s="89"/>
      <c r="H729" s="89"/>
      <c r="I729" s="89"/>
      <c r="J729" s="68"/>
      <c r="K729" s="89"/>
      <c r="L729" s="68">
        <v>1</v>
      </c>
      <c r="M729" s="20"/>
      <c r="N729" s="68"/>
      <c r="O729" s="102"/>
      <c r="P729" s="76" t="s">
        <v>2229</v>
      </c>
      <c r="Q729" s="90">
        <v>0</v>
      </c>
      <c r="R729" s="68">
        <f t="shared" si="2"/>
        <v>1</v>
      </c>
      <c r="S729" s="71">
        <f t="shared" si="3"/>
        <v>1</v>
      </c>
    </row>
    <row r="730" spans="1:21" ht="89.25">
      <c r="A730" s="113" t="s">
        <v>1840</v>
      </c>
      <c r="B730" s="65">
        <v>7</v>
      </c>
      <c r="C730" s="65" t="s">
        <v>1806</v>
      </c>
      <c r="D730" s="72" t="s">
        <v>1841</v>
      </c>
      <c r="E730" s="65" t="s">
        <v>48</v>
      </c>
      <c r="F730" s="109">
        <v>0</v>
      </c>
      <c r="G730" s="117"/>
      <c r="H730" s="68"/>
      <c r="I730" s="90"/>
      <c r="J730" s="89"/>
      <c r="K730" s="76"/>
      <c r="L730" s="68">
        <v>2</v>
      </c>
      <c r="M730" s="20"/>
      <c r="N730" s="68"/>
      <c r="O730" s="102"/>
      <c r="P730" s="76" t="s">
        <v>2229</v>
      </c>
      <c r="Q730" s="90">
        <v>0</v>
      </c>
      <c r="R730" s="68">
        <f t="shared" si="2"/>
        <v>2</v>
      </c>
      <c r="S730" s="71">
        <f t="shared" si="3"/>
        <v>2</v>
      </c>
    </row>
    <row r="731" spans="1:21" ht="25.5">
      <c r="A731" s="113" t="s">
        <v>1842</v>
      </c>
      <c r="B731" s="65" t="s">
        <v>1843</v>
      </c>
      <c r="C731" s="65" t="s">
        <v>1810</v>
      </c>
      <c r="D731" s="72" t="s">
        <v>1844</v>
      </c>
      <c r="E731" s="65" t="s">
        <v>25</v>
      </c>
      <c r="F731" s="65">
        <v>0</v>
      </c>
      <c r="G731" s="117"/>
      <c r="H731" s="68"/>
      <c r="I731" s="90"/>
      <c r="J731" s="89"/>
      <c r="K731" s="76"/>
      <c r="L731" s="68">
        <v>1.8</v>
      </c>
      <c r="M731" s="20"/>
      <c r="N731" s="68"/>
      <c r="O731" s="102"/>
      <c r="P731" s="76" t="s">
        <v>2229</v>
      </c>
      <c r="Q731" s="90">
        <v>0</v>
      </c>
      <c r="R731" s="68">
        <f t="shared" si="2"/>
        <v>1.8</v>
      </c>
      <c r="S731" s="71">
        <f t="shared" si="3"/>
        <v>1.8</v>
      </c>
    </row>
    <row r="732" spans="1:21" ht="25.5">
      <c r="A732" s="113" t="s">
        <v>1845</v>
      </c>
      <c r="B732" s="65">
        <v>8</v>
      </c>
      <c r="C732" s="65" t="s">
        <v>1806</v>
      </c>
      <c r="D732" s="72" t="s">
        <v>1846</v>
      </c>
      <c r="E732" s="65" t="s">
        <v>25</v>
      </c>
      <c r="F732" s="65">
        <v>0</v>
      </c>
      <c r="G732" s="117"/>
      <c r="H732" s="68"/>
      <c r="I732" s="90"/>
      <c r="J732" s="89"/>
      <c r="K732" s="76"/>
      <c r="L732" s="68">
        <v>8</v>
      </c>
      <c r="M732" s="20">
        <f>4.83+15</f>
        <v>19.829999999999998</v>
      </c>
      <c r="N732" s="68"/>
      <c r="O732" s="102"/>
      <c r="P732" s="76" t="s">
        <v>2229</v>
      </c>
      <c r="Q732" s="90">
        <v>0</v>
      </c>
      <c r="R732" s="68" t="s">
        <v>2236</v>
      </c>
      <c r="S732" s="71">
        <f>M732+L732</f>
        <v>27.83</v>
      </c>
    </row>
    <row r="733" spans="1:21" ht="15">
      <c r="A733" s="113" t="s">
        <v>1847</v>
      </c>
      <c r="B733" s="65" t="s">
        <v>1848</v>
      </c>
      <c r="C733" s="65" t="s">
        <v>1810</v>
      </c>
      <c r="D733" s="72" t="s">
        <v>1849</v>
      </c>
      <c r="E733" s="65" t="s">
        <v>25</v>
      </c>
      <c r="F733" s="65">
        <v>0</v>
      </c>
      <c r="G733" s="117"/>
      <c r="H733" s="68"/>
      <c r="I733" s="90"/>
      <c r="J733" s="89"/>
      <c r="K733" s="76"/>
      <c r="L733" s="68">
        <v>197.15</v>
      </c>
      <c r="M733" s="20"/>
      <c r="N733" s="68"/>
      <c r="O733" s="102"/>
      <c r="P733" s="76" t="s">
        <v>2229</v>
      </c>
      <c r="Q733" s="90">
        <v>0</v>
      </c>
      <c r="R733" s="68">
        <f t="shared" ref="R733:R742" si="4">L733</f>
        <v>197.15</v>
      </c>
      <c r="S733" s="71">
        <f t="shared" ref="S733:S742" si="5">R733</f>
        <v>197.15</v>
      </c>
      <c r="U733" s="47" t="s">
        <v>2237</v>
      </c>
    </row>
    <row r="734" spans="1:21" ht="25.5">
      <c r="A734" s="113" t="s">
        <v>1850</v>
      </c>
      <c r="B734" s="65" t="s">
        <v>1851</v>
      </c>
      <c r="C734" s="65" t="s">
        <v>1810</v>
      </c>
      <c r="D734" s="72" t="s">
        <v>1852</v>
      </c>
      <c r="E734" s="65" t="s">
        <v>25</v>
      </c>
      <c r="F734" s="65">
        <v>0</v>
      </c>
      <c r="G734" s="117"/>
      <c r="H734" s="68"/>
      <c r="I734" s="90"/>
      <c r="J734" s="89"/>
      <c r="K734" s="76"/>
      <c r="L734" s="68">
        <v>18.600000000000001</v>
      </c>
      <c r="M734" s="20"/>
      <c r="N734" s="68"/>
      <c r="O734" s="102"/>
      <c r="P734" s="76" t="s">
        <v>2229</v>
      </c>
      <c r="Q734" s="90">
        <v>0</v>
      </c>
      <c r="R734" s="68">
        <f t="shared" si="4"/>
        <v>18.600000000000001</v>
      </c>
      <c r="S734" s="71">
        <f t="shared" si="5"/>
        <v>18.600000000000001</v>
      </c>
    </row>
    <row r="735" spans="1:21" ht="38.25">
      <c r="A735" s="113" t="s">
        <v>1853</v>
      </c>
      <c r="B735" s="65" t="s">
        <v>1854</v>
      </c>
      <c r="C735" s="65" t="s">
        <v>1810</v>
      </c>
      <c r="D735" s="72" t="s">
        <v>1855</v>
      </c>
      <c r="E735" s="65" t="s">
        <v>38</v>
      </c>
      <c r="F735" s="65">
        <v>0</v>
      </c>
      <c r="G735" s="117"/>
      <c r="H735" s="68"/>
      <c r="I735" s="90"/>
      <c r="J735" s="89"/>
      <c r="K735" s="76"/>
      <c r="L735" s="68">
        <v>0.52305975000000005</v>
      </c>
      <c r="M735" s="20"/>
      <c r="N735" s="68"/>
      <c r="O735" s="102"/>
      <c r="P735" s="76" t="s">
        <v>2229</v>
      </c>
      <c r="Q735" s="90">
        <v>0</v>
      </c>
      <c r="R735" s="68">
        <f t="shared" si="4"/>
        <v>0.52305975000000005</v>
      </c>
      <c r="S735" s="71">
        <f t="shared" si="5"/>
        <v>0.52305975000000005</v>
      </c>
      <c r="U735" s="47" t="s">
        <v>2238</v>
      </c>
    </row>
    <row r="736" spans="1:21" ht="25.5">
      <c r="A736" s="113" t="s">
        <v>1856</v>
      </c>
      <c r="B736" s="65" t="s">
        <v>1857</v>
      </c>
      <c r="C736" s="65" t="s">
        <v>1810</v>
      </c>
      <c r="D736" s="72" t="s">
        <v>1858</v>
      </c>
      <c r="E736" s="65" t="s">
        <v>1741</v>
      </c>
      <c r="F736" s="65">
        <v>0</v>
      </c>
      <c r="G736" s="117"/>
      <c r="H736" s="68"/>
      <c r="I736" s="90"/>
      <c r="J736" s="89"/>
      <c r="K736" s="76"/>
      <c r="L736" s="68">
        <v>52.9908</v>
      </c>
      <c r="M736" s="20"/>
      <c r="N736" s="68"/>
      <c r="O736" s="102"/>
      <c r="P736" s="76" t="s">
        <v>2229</v>
      </c>
      <c r="Q736" s="90">
        <v>0</v>
      </c>
      <c r="R736" s="68">
        <f t="shared" si="4"/>
        <v>52.9908</v>
      </c>
      <c r="S736" s="71">
        <f t="shared" si="5"/>
        <v>52.9908</v>
      </c>
    </row>
    <row r="737" spans="1:21" ht="25.5">
      <c r="A737" s="113" t="s">
        <v>1859</v>
      </c>
      <c r="B737" s="65" t="s">
        <v>1860</v>
      </c>
      <c r="C737" s="65" t="s">
        <v>1810</v>
      </c>
      <c r="D737" s="72" t="s">
        <v>1861</v>
      </c>
      <c r="E737" s="65" t="s">
        <v>1741</v>
      </c>
      <c r="F737" s="65">
        <v>0</v>
      </c>
      <c r="G737" s="117"/>
      <c r="H737" s="68"/>
      <c r="I737" s="90"/>
      <c r="J737" s="89"/>
      <c r="K737" s="76"/>
      <c r="L737" s="68">
        <v>20.1586</v>
      </c>
      <c r="M737" s="20"/>
      <c r="N737" s="68"/>
      <c r="O737" s="102"/>
      <c r="P737" s="76" t="s">
        <v>2229</v>
      </c>
      <c r="Q737" s="90">
        <v>0</v>
      </c>
      <c r="R737" s="68">
        <f t="shared" si="4"/>
        <v>20.1586</v>
      </c>
      <c r="S737" s="71">
        <f t="shared" si="5"/>
        <v>20.1586</v>
      </c>
    </row>
    <row r="738" spans="1:21" ht="63.75">
      <c r="A738" s="113" t="s">
        <v>1862</v>
      </c>
      <c r="B738" s="65" t="s">
        <v>1863</v>
      </c>
      <c r="C738" s="65" t="s">
        <v>1810</v>
      </c>
      <c r="D738" s="72" t="s">
        <v>1864</v>
      </c>
      <c r="E738" s="65" t="s">
        <v>25</v>
      </c>
      <c r="F738" s="65">
        <v>0</v>
      </c>
      <c r="G738" s="117"/>
      <c r="H738" s="68"/>
      <c r="I738" s="90"/>
      <c r="J738" s="89"/>
      <c r="K738" s="76"/>
      <c r="L738" s="68">
        <v>19.124130000000001</v>
      </c>
      <c r="M738" s="20"/>
      <c r="N738" s="68"/>
      <c r="O738" s="102"/>
      <c r="P738" s="76" t="s">
        <v>2229</v>
      </c>
      <c r="Q738" s="90">
        <v>0</v>
      </c>
      <c r="R738" s="68">
        <f t="shared" si="4"/>
        <v>19.124130000000001</v>
      </c>
      <c r="S738" s="71">
        <f t="shared" si="5"/>
        <v>19.124130000000001</v>
      </c>
    </row>
    <row r="739" spans="1:21" ht="51">
      <c r="A739" s="113" t="s">
        <v>1865</v>
      </c>
      <c r="B739" s="65" t="s">
        <v>1866</v>
      </c>
      <c r="C739" s="65" t="s">
        <v>1810</v>
      </c>
      <c r="D739" s="72" t="s">
        <v>1867</v>
      </c>
      <c r="E739" s="65" t="s">
        <v>107</v>
      </c>
      <c r="F739" s="65">
        <v>0</v>
      </c>
      <c r="G739" s="117"/>
      <c r="H739" s="68"/>
      <c r="I739" s="90"/>
      <c r="J739" s="89"/>
      <c r="K739" s="76"/>
      <c r="L739" s="68">
        <v>31.04</v>
      </c>
      <c r="M739" s="20"/>
      <c r="N739" s="68"/>
      <c r="O739" s="102"/>
      <c r="P739" s="76" t="s">
        <v>2229</v>
      </c>
      <c r="Q739" s="90">
        <v>0</v>
      </c>
      <c r="R739" s="68">
        <f t="shared" si="4"/>
        <v>31.04</v>
      </c>
      <c r="S739" s="71">
        <f t="shared" si="5"/>
        <v>31.04</v>
      </c>
      <c r="U739" s="47" t="s">
        <v>2239</v>
      </c>
    </row>
    <row r="740" spans="1:21" ht="51">
      <c r="A740" s="113" t="s">
        <v>1868</v>
      </c>
      <c r="B740" s="65" t="s">
        <v>1869</v>
      </c>
      <c r="C740" s="65" t="s">
        <v>1810</v>
      </c>
      <c r="D740" s="72" t="s">
        <v>1870</v>
      </c>
      <c r="E740" s="65" t="s">
        <v>48</v>
      </c>
      <c r="F740" s="65">
        <v>0</v>
      </c>
      <c r="G740" s="117"/>
      <c r="H740" s="68"/>
      <c r="I740" s="90"/>
      <c r="J740" s="89"/>
      <c r="K740" s="76"/>
      <c r="L740" s="68">
        <v>5</v>
      </c>
      <c r="M740" s="20"/>
      <c r="N740" s="68"/>
      <c r="O740" s="102"/>
      <c r="P740" s="76" t="s">
        <v>2229</v>
      </c>
      <c r="Q740" s="90">
        <v>0</v>
      </c>
      <c r="R740" s="68">
        <f t="shared" si="4"/>
        <v>5</v>
      </c>
      <c r="S740" s="71">
        <f t="shared" si="5"/>
        <v>5</v>
      </c>
    </row>
    <row r="741" spans="1:21" ht="38.25">
      <c r="A741" s="113" t="s">
        <v>1871</v>
      </c>
      <c r="B741" s="65">
        <v>9</v>
      </c>
      <c r="C741" s="65" t="s">
        <v>1806</v>
      </c>
      <c r="D741" s="72" t="s">
        <v>1872</v>
      </c>
      <c r="E741" s="65" t="s">
        <v>48</v>
      </c>
      <c r="F741" s="65">
        <v>0</v>
      </c>
      <c r="G741" s="117"/>
      <c r="H741" s="68"/>
      <c r="I741" s="90"/>
      <c r="J741" s="89"/>
      <c r="K741" s="76"/>
      <c r="L741" s="68">
        <v>18</v>
      </c>
      <c r="M741" s="20"/>
      <c r="N741" s="68"/>
      <c r="O741" s="102"/>
      <c r="P741" s="76" t="s">
        <v>2229</v>
      </c>
      <c r="Q741" s="90">
        <v>0</v>
      </c>
      <c r="R741" s="68">
        <f t="shared" si="4"/>
        <v>18</v>
      </c>
      <c r="S741" s="71">
        <f t="shared" si="5"/>
        <v>18</v>
      </c>
    </row>
    <row r="742" spans="1:21" ht="63.75">
      <c r="A742" s="113" t="s">
        <v>1873</v>
      </c>
      <c r="B742" s="65">
        <v>190106</v>
      </c>
      <c r="C742" s="65" t="s">
        <v>1810</v>
      </c>
      <c r="D742" s="72" t="s">
        <v>1874</v>
      </c>
      <c r="E742" s="65" t="s">
        <v>25</v>
      </c>
      <c r="F742" s="65">
        <v>0</v>
      </c>
      <c r="G742" s="117"/>
      <c r="H742" s="68"/>
      <c r="I742" s="90"/>
      <c r="J742" s="89"/>
      <c r="K742" s="76"/>
      <c r="L742" s="69">
        <v>2791.87</v>
      </c>
      <c r="M742" s="20"/>
      <c r="N742" s="69"/>
      <c r="O742" s="102"/>
      <c r="P742" s="76" t="s">
        <v>2229</v>
      </c>
      <c r="Q742" s="90">
        <v>0</v>
      </c>
      <c r="R742" s="68">
        <f t="shared" si="4"/>
        <v>2791.87</v>
      </c>
      <c r="S742" s="71">
        <f t="shared" si="5"/>
        <v>2791.87</v>
      </c>
    </row>
    <row r="743" spans="1:21" ht="51">
      <c r="A743" s="113" t="s">
        <v>1875</v>
      </c>
      <c r="B743" s="65">
        <v>151803</v>
      </c>
      <c r="C743" s="65" t="s">
        <v>1810</v>
      </c>
      <c r="D743" s="72" t="s">
        <v>1876</v>
      </c>
      <c r="E743" s="65" t="s">
        <v>48</v>
      </c>
      <c r="F743" s="65">
        <v>0</v>
      </c>
      <c r="G743" s="89"/>
      <c r="H743" s="89"/>
      <c r="I743" s="89"/>
      <c r="J743" s="89"/>
      <c r="K743" s="76"/>
      <c r="L743" s="68">
        <v>10</v>
      </c>
      <c r="M743" s="20">
        <v>12</v>
      </c>
      <c r="N743" s="68"/>
      <c r="O743" s="102"/>
      <c r="P743" s="76" t="s">
        <v>2229</v>
      </c>
      <c r="Q743" s="90">
        <v>0</v>
      </c>
      <c r="R743" s="68" t="s">
        <v>2240</v>
      </c>
      <c r="S743" s="71">
        <f>M743+L743</f>
        <v>22</v>
      </c>
    </row>
    <row r="744" spans="1:21" ht="15">
      <c r="A744" s="113" t="s">
        <v>1877</v>
      </c>
      <c r="B744" s="65">
        <v>10</v>
      </c>
      <c r="C744" s="65" t="s">
        <v>1806</v>
      </c>
      <c r="D744" s="72" t="s">
        <v>1878</v>
      </c>
      <c r="E744" s="65" t="s">
        <v>25</v>
      </c>
      <c r="F744" s="65">
        <v>0</v>
      </c>
      <c r="G744" s="89"/>
      <c r="H744" s="89"/>
      <c r="I744" s="89"/>
      <c r="J744" s="89"/>
      <c r="K744" s="76"/>
      <c r="L744" s="68">
        <v>42.17</v>
      </c>
      <c r="M744" s="20">
        <v>3.5649999999999999</v>
      </c>
      <c r="N744" s="68"/>
      <c r="O744" s="102"/>
      <c r="P744" s="76" t="s">
        <v>2229</v>
      </c>
      <c r="Q744" s="90">
        <v>0</v>
      </c>
      <c r="R744" s="68" t="s">
        <v>2241</v>
      </c>
      <c r="S744" s="71">
        <f>M744+L744</f>
        <v>45.734999999999999</v>
      </c>
    </row>
    <row r="745" spans="1:21" ht="47.45" customHeight="1">
      <c r="A745" s="118" t="s">
        <v>1879</v>
      </c>
      <c r="B745" s="65">
        <v>11</v>
      </c>
      <c r="C745" s="65" t="s">
        <v>1806</v>
      </c>
      <c r="D745" s="72" t="s">
        <v>1880</v>
      </c>
      <c r="E745" s="65" t="s">
        <v>38</v>
      </c>
      <c r="F745" s="65">
        <v>0</v>
      </c>
      <c r="G745" s="89"/>
      <c r="H745" s="89"/>
      <c r="I745" s="89"/>
      <c r="J745" s="89"/>
      <c r="K745" s="89"/>
      <c r="L745" s="69">
        <v>156.24</v>
      </c>
      <c r="M745" s="20">
        <f>7.14+9.32</f>
        <v>16.46</v>
      </c>
      <c r="N745" s="69"/>
      <c r="O745" s="102"/>
      <c r="P745" s="76" t="s">
        <v>2229</v>
      </c>
      <c r="Q745" s="90">
        <v>0</v>
      </c>
      <c r="R745" s="68" t="s">
        <v>2242</v>
      </c>
      <c r="S745" s="71">
        <f>M745+L745</f>
        <v>172.70000000000002</v>
      </c>
    </row>
    <row r="746" spans="1:21" ht="47.45" customHeight="1">
      <c r="A746" s="119" t="s">
        <v>1881</v>
      </c>
      <c r="B746" s="33">
        <v>140109</v>
      </c>
      <c r="C746" s="33" t="s">
        <v>1810</v>
      </c>
      <c r="D746" s="34" t="s">
        <v>1882</v>
      </c>
      <c r="E746" s="33" t="s">
        <v>48</v>
      </c>
      <c r="F746" s="97">
        <v>0</v>
      </c>
      <c r="G746" s="89"/>
      <c r="H746" s="89"/>
      <c r="I746" s="89"/>
      <c r="J746" s="89"/>
      <c r="K746" s="89"/>
      <c r="L746" s="69"/>
      <c r="M746" s="69"/>
      <c r="N746" s="69"/>
      <c r="O746" s="20">
        <v>3</v>
      </c>
      <c r="P746" s="76" t="s">
        <v>2229</v>
      </c>
      <c r="Q746" s="90">
        <v>0</v>
      </c>
      <c r="R746" s="68">
        <f t="shared" ref="R746:R755" si="6">O746</f>
        <v>3</v>
      </c>
      <c r="S746" s="71">
        <f t="shared" ref="S746:S755" si="7">O746+L746</f>
        <v>3</v>
      </c>
    </row>
    <row r="747" spans="1:21" ht="47.45" customHeight="1">
      <c r="A747" s="119" t="s">
        <v>1883</v>
      </c>
      <c r="B747" s="33">
        <v>140108</v>
      </c>
      <c r="C747" s="33" t="s">
        <v>1810</v>
      </c>
      <c r="D747" s="34" t="s">
        <v>1884</v>
      </c>
      <c r="E747" s="33" t="s">
        <v>48</v>
      </c>
      <c r="F747" s="97">
        <v>0</v>
      </c>
      <c r="G747" s="89"/>
      <c r="H747" s="89"/>
      <c r="I747" s="89"/>
      <c r="J747" s="89"/>
      <c r="K747" s="89"/>
      <c r="L747" s="69"/>
      <c r="M747" s="69"/>
      <c r="N747" s="69"/>
      <c r="O747" s="20">
        <v>3</v>
      </c>
      <c r="P747" s="76" t="s">
        <v>2229</v>
      </c>
      <c r="Q747" s="90">
        <v>0</v>
      </c>
      <c r="R747" s="68">
        <f t="shared" si="6"/>
        <v>3</v>
      </c>
      <c r="S747" s="71">
        <f t="shared" si="7"/>
        <v>3</v>
      </c>
    </row>
    <row r="748" spans="1:21" ht="47.45" customHeight="1">
      <c r="A748" s="119" t="s">
        <v>1885</v>
      </c>
      <c r="B748" s="97">
        <v>13</v>
      </c>
      <c r="C748" s="97" t="s">
        <v>1806</v>
      </c>
      <c r="D748" s="98" t="s">
        <v>1886</v>
      </c>
      <c r="E748" s="41" t="s">
        <v>48</v>
      </c>
      <c r="F748" s="97">
        <v>0</v>
      </c>
      <c r="G748" s="89"/>
      <c r="H748" s="89"/>
      <c r="I748" s="89"/>
      <c r="J748" s="89"/>
      <c r="K748" s="89"/>
      <c r="L748" s="69"/>
      <c r="M748" s="69"/>
      <c r="N748" s="69"/>
      <c r="O748" s="20">
        <v>17</v>
      </c>
      <c r="P748" s="76" t="s">
        <v>2229</v>
      </c>
      <c r="Q748" s="90">
        <v>0</v>
      </c>
      <c r="R748" s="68">
        <f t="shared" si="6"/>
        <v>17</v>
      </c>
      <c r="S748" s="71">
        <f t="shared" si="7"/>
        <v>17</v>
      </c>
    </row>
    <row r="749" spans="1:21" ht="47.45" customHeight="1">
      <c r="A749" s="119" t="s">
        <v>1887</v>
      </c>
      <c r="B749" s="97">
        <v>14</v>
      </c>
      <c r="C749" s="97" t="s">
        <v>1806</v>
      </c>
      <c r="D749" s="98" t="s">
        <v>1888</v>
      </c>
      <c r="E749" s="97" t="s">
        <v>25</v>
      </c>
      <c r="F749" s="97">
        <v>0</v>
      </c>
      <c r="G749" s="89"/>
      <c r="H749" s="89"/>
      <c r="I749" s="89"/>
      <c r="J749" s="89"/>
      <c r="K749" s="89"/>
      <c r="L749" s="69"/>
      <c r="M749" s="69"/>
      <c r="N749" s="69"/>
      <c r="O749" s="20">
        <v>108.45</v>
      </c>
      <c r="P749" s="76" t="s">
        <v>2229</v>
      </c>
      <c r="Q749" s="90">
        <v>0</v>
      </c>
      <c r="R749" s="68">
        <f t="shared" si="6"/>
        <v>108.45</v>
      </c>
      <c r="S749" s="71">
        <f t="shared" si="7"/>
        <v>108.45</v>
      </c>
    </row>
    <row r="750" spans="1:21" ht="47.45" customHeight="1">
      <c r="A750" s="119" t="s">
        <v>1889</v>
      </c>
      <c r="B750" s="97">
        <v>16</v>
      </c>
      <c r="C750" s="97" t="s">
        <v>1806</v>
      </c>
      <c r="D750" s="98" t="s">
        <v>1890</v>
      </c>
      <c r="E750" s="97" t="s">
        <v>48</v>
      </c>
      <c r="F750" s="97">
        <v>0</v>
      </c>
      <c r="G750" s="89"/>
      <c r="H750" s="89"/>
      <c r="I750" s="89"/>
      <c r="J750" s="89"/>
      <c r="K750" s="89"/>
      <c r="L750" s="69"/>
      <c r="M750" s="69"/>
      <c r="N750" s="69"/>
      <c r="O750" s="20">
        <v>1</v>
      </c>
      <c r="P750" s="76" t="s">
        <v>2229</v>
      </c>
      <c r="Q750" s="90">
        <v>0</v>
      </c>
      <c r="R750" s="68">
        <f t="shared" si="6"/>
        <v>1</v>
      </c>
      <c r="S750" s="71">
        <f t="shared" si="7"/>
        <v>1</v>
      </c>
    </row>
    <row r="751" spans="1:21" ht="47.45" customHeight="1">
      <c r="A751" s="119" t="s">
        <v>1891</v>
      </c>
      <c r="B751" s="97">
        <v>80103</v>
      </c>
      <c r="C751" s="33" t="s">
        <v>1810</v>
      </c>
      <c r="D751" s="98" t="s">
        <v>1892</v>
      </c>
      <c r="E751" s="97" t="s">
        <v>25</v>
      </c>
      <c r="F751" s="97">
        <v>0</v>
      </c>
      <c r="G751" s="89"/>
      <c r="H751" s="89"/>
      <c r="I751" s="89"/>
      <c r="J751" s="89"/>
      <c r="K751" s="89"/>
      <c r="L751" s="69"/>
      <c r="M751" s="69"/>
      <c r="N751" s="69"/>
      <c r="O751" s="20">
        <v>77.19</v>
      </c>
      <c r="P751" s="76" t="s">
        <v>2229</v>
      </c>
      <c r="Q751" s="90">
        <v>0</v>
      </c>
      <c r="R751" s="68">
        <f t="shared" si="6"/>
        <v>77.19</v>
      </c>
      <c r="S751" s="71">
        <f t="shared" si="7"/>
        <v>77.19</v>
      </c>
    </row>
    <row r="752" spans="1:21" ht="47.45" customHeight="1">
      <c r="A752" s="119" t="s">
        <v>1893</v>
      </c>
      <c r="B752" s="120">
        <v>18</v>
      </c>
      <c r="C752" s="120" t="s">
        <v>1806</v>
      </c>
      <c r="D752" s="121" t="s">
        <v>1896</v>
      </c>
      <c r="E752" s="120" t="s">
        <v>243</v>
      </c>
      <c r="F752" s="120">
        <v>0</v>
      </c>
      <c r="G752" s="89"/>
      <c r="H752" s="89"/>
      <c r="I752" s="89"/>
      <c r="J752" s="89"/>
      <c r="K752" s="89"/>
      <c r="L752" s="69"/>
      <c r="M752" s="69"/>
      <c r="N752" s="69"/>
      <c r="O752" s="20">
        <v>187.25</v>
      </c>
      <c r="P752" s="76" t="s">
        <v>2229</v>
      </c>
      <c r="Q752" s="90">
        <v>0</v>
      </c>
      <c r="R752" s="68">
        <f t="shared" si="6"/>
        <v>187.25</v>
      </c>
      <c r="S752" s="71">
        <f t="shared" si="7"/>
        <v>187.25</v>
      </c>
    </row>
    <row r="753" spans="1:19" ht="47.45" customHeight="1">
      <c r="A753" s="119" t="s">
        <v>1894</v>
      </c>
      <c r="B753" s="123">
        <v>171085</v>
      </c>
      <c r="C753" s="123" t="s">
        <v>6</v>
      </c>
      <c r="D753" s="124" t="s">
        <v>1898</v>
      </c>
      <c r="E753" s="123" t="s">
        <v>243</v>
      </c>
      <c r="F753" s="123">
        <v>0</v>
      </c>
      <c r="G753" s="89"/>
      <c r="H753" s="89"/>
      <c r="I753" s="89"/>
      <c r="J753" s="89"/>
      <c r="K753" s="89"/>
      <c r="L753" s="69"/>
      <c r="M753" s="69"/>
      <c r="N753" s="69"/>
      <c r="O753" s="20">
        <v>125.5</v>
      </c>
      <c r="P753" s="76" t="s">
        <v>2229</v>
      </c>
      <c r="Q753" s="90">
        <v>0</v>
      </c>
      <c r="R753" s="68">
        <f t="shared" si="6"/>
        <v>125.5</v>
      </c>
      <c r="S753" s="71">
        <f t="shared" si="7"/>
        <v>125.5</v>
      </c>
    </row>
    <row r="754" spans="1:19" ht="38.25">
      <c r="A754" s="119" t="s">
        <v>1895</v>
      </c>
      <c r="B754" s="35">
        <v>170540</v>
      </c>
      <c r="C754" s="65" t="s">
        <v>1810</v>
      </c>
      <c r="D754" s="72" t="s">
        <v>2481</v>
      </c>
      <c r="E754" s="65" t="s">
        <v>202</v>
      </c>
      <c r="F754" s="65">
        <v>0</v>
      </c>
      <c r="G754" s="89"/>
      <c r="H754" s="89"/>
      <c r="I754" s="89"/>
      <c r="J754" s="68"/>
      <c r="K754" s="89"/>
      <c r="L754" s="90"/>
      <c r="M754" s="90"/>
      <c r="N754" s="90"/>
      <c r="O754" s="20">
        <v>3</v>
      </c>
      <c r="P754" s="76" t="s">
        <v>2229</v>
      </c>
      <c r="Q754" s="90">
        <v>0</v>
      </c>
      <c r="R754" s="68">
        <f t="shared" si="6"/>
        <v>3</v>
      </c>
      <c r="S754" s="71">
        <f t="shared" si="7"/>
        <v>3</v>
      </c>
    </row>
    <row r="755" spans="1:19" ht="25.5">
      <c r="A755" s="32" t="s">
        <v>1897</v>
      </c>
      <c r="B755" s="22" t="s">
        <v>945</v>
      </c>
      <c r="C755" s="22" t="s">
        <v>200</v>
      </c>
      <c r="D755" s="23" t="s">
        <v>2500</v>
      </c>
      <c r="E755" s="22" t="s">
        <v>253</v>
      </c>
      <c r="F755" s="22">
        <v>0</v>
      </c>
      <c r="G755" s="126"/>
      <c r="H755" s="126"/>
      <c r="I755" s="126"/>
      <c r="J755" s="126"/>
      <c r="K755" s="126"/>
      <c r="L755" s="127"/>
      <c r="M755" s="127"/>
      <c r="N755" s="127"/>
      <c r="O755" s="20">
        <v>1</v>
      </c>
      <c r="P755" s="128" t="s">
        <v>2229</v>
      </c>
      <c r="Q755" s="129">
        <v>0</v>
      </c>
      <c r="R755" s="129">
        <f t="shared" si="6"/>
        <v>1</v>
      </c>
      <c r="S755" s="71">
        <f t="shared" si="7"/>
        <v>1</v>
      </c>
    </row>
    <row r="756" spans="1:19" ht="25.5">
      <c r="A756" s="32" t="s">
        <v>2499</v>
      </c>
      <c r="B756" s="22" t="s">
        <v>1076</v>
      </c>
      <c r="C756" s="22" t="s">
        <v>200</v>
      </c>
      <c r="D756" s="23" t="s">
        <v>2501</v>
      </c>
      <c r="E756" s="22" t="s">
        <v>253</v>
      </c>
      <c r="F756" s="22">
        <v>0</v>
      </c>
      <c r="G756" s="126"/>
      <c r="H756" s="126"/>
      <c r="I756" s="126"/>
      <c r="J756" s="126"/>
      <c r="K756" s="126"/>
      <c r="L756" s="127"/>
      <c r="M756" s="127"/>
      <c r="N756" s="127"/>
      <c r="O756" s="20">
        <v>1</v>
      </c>
      <c r="P756" s="128" t="s">
        <v>2229</v>
      </c>
      <c r="Q756" s="129">
        <v>1</v>
      </c>
      <c r="R756" s="129">
        <f t="shared" ref="R756:R757" si="8">O756</f>
        <v>1</v>
      </c>
      <c r="S756" s="71">
        <f t="shared" ref="S756:S757" si="9">O756+L756</f>
        <v>1</v>
      </c>
    </row>
    <row r="757" spans="1:19" ht="15">
      <c r="A757" s="32" t="s">
        <v>1885</v>
      </c>
      <c r="B757" s="22">
        <v>18</v>
      </c>
      <c r="C757" s="22" t="s">
        <v>1806</v>
      </c>
      <c r="D757" s="40" t="s">
        <v>2502</v>
      </c>
      <c r="E757" s="41" t="s">
        <v>48</v>
      </c>
      <c r="F757" s="35">
        <v>0</v>
      </c>
      <c r="G757" s="126"/>
      <c r="H757" s="126"/>
      <c r="I757" s="126"/>
      <c r="J757" s="126"/>
      <c r="K757" s="126"/>
      <c r="L757" s="127"/>
      <c r="M757" s="127"/>
      <c r="N757" s="127"/>
      <c r="O757" s="20">
        <v>74</v>
      </c>
      <c r="P757" s="128" t="s">
        <v>2229</v>
      </c>
      <c r="Q757" s="129">
        <v>2</v>
      </c>
      <c r="R757" s="129">
        <f t="shared" si="8"/>
        <v>74</v>
      </c>
      <c r="S757" s="71">
        <f t="shared" si="9"/>
        <v>74</v>
      </c>
    </row>
    <row r="758" spans="1:19" s="133" customFormat="1" ht="15">
      <c r="A758" s="130">
        <v>24</v>
      </c>
      <c r="B758" s="131"/>
      <c r="C758" s="131"/>
      <c r="D758" s="132" t="s">
        <v>1899</v>
      </c>
      <c r="E758" s="131"/>
      <c r="F758" s="131"/>
      <c r="G758" s="91"/>
      <c r="H758" s="91"/>
      <c r="I758" s="91"/>
      <c r="J758" s="91"/>
      <c r="K758" s="91"/>
      <c r="L758" s="78"/>
      <c r="M758" s="78"/>
      <c r="N758" s="78"/>
      <c r="O758" s="13"/>
      <c r="P758" s="93"/>
      <c r="Q758" s="92"/>
      <c r="R758" s="92"/>
      <c r="S758" s="92"/>
    </row>
    <row r="759" spans="1:19" ht="38.25">
      <c r="A759" s="122" t="s">
        <v>1900</v>
      </c>
      <c r="B759" s="123" t="s">
        <v>1901</v>
      </c>
      <c r="C759" s="125" t="s">
        <v>1810</v>
      </c>
      <c r="D759" s="134" t="s">
        <v>1902</v>
      </c>
      <c r="E759" s="123" t="s">
        <v>243</v>
      </c>
      <c r="F759" s="123">
        <v>0</v>
      </c>
      <c r="G759" s="89"/>
      <c r="H759" s="89"/>
      <c r="I759" s="89"/>
      <c r="J759" s="89"/>
      <c r="K759" s="89"/>
      <c r="L759" s="69"/>
      <c r="M759" s="69"/>
      <c r="N759" s="69"/>
      <c r="O759" s="42" t="e">
        <f>'PLANILHA ORÇAMENTÁRIA BASE'!#REF!</f>
        <v>#REF!</v>
      </c>
      <c r="P759" s="128" t="s">
        <v>2229</v>
      </c>
      <c r="Q759" s="90">
        <v>0</v>
      </c>
      <c r="R759" s="90" t="e">
        <f t="shared" ref="R759:R770" si="10">O759</f>
        <v>#REF!</v>
      </c>
      <c r="S759" s="71" t="e">
        <f t="shared" ref="S759:S770" si="11">O759+L759</f>
        <v>#REF!</v>
      </c>
    </row>
    <row r="760" spans="1:19" ht="15">
      <c r="A760" s="122" t="s">
        <v>1903</v>
      </c>
      <c r="B760" s="123">
        <v>17</v>
      </c>
      <c r="C760" s="125" t="s">
        <v>1806</v>
      </c>
      <c r="D760" s="134" t="s">
        <v>1904</v>
      </c>
      <c r="E760" s="123" t="s">
        <v>243</v>
      </c>
      <c r="F760" s="123">
        <v>0</v>
      </c>
      <c r="G760" s="89"/>
      <c r="H760" s="89"/>
      <c r="I760" s="89"/>
      <c r="J760" s="89"/>
      <c r="K760" s="89"/>
      <c r="L760" s="69"/>
      <c r="M760" s="69"/>
      <c r="N760" s="69"/>
      <c r="O760" s="42" t="e">
        <f>'PLANILHA ORÇAMENTÁRIA BASE'!#REF!</f>
        <v>#REF!</v>
      </c>
      <c r="P760" s="128" t="s">
        <v>2229</v>
      </c>
      <c r="Q760" s="90">
        <v>0</v>
      </c>
      <c r="R760" s="90" t="e">
        <f t="shared" si="10"/>
        <v>#REF!</v>
      </c>
      <c r="S760" s="71" t="e">
        <f t="shared" si="11"/>
        <v>#REF!</v>
      </c>
    </row>
    <row r="761" spans="1:19" ht="38.25">
      <c r="A761" s="122" t="s">
        <v>1905</v>
      </c>
      <c r="B761" s="123" t="s">
        <v>1901</v>
      </c>
      <c r="C761" s="125" t="s">
        <v>1810</v>
      </c>
      <c r="D761" s="134" t="s">
        <v>1906</v>
      </c>
      <c r="E761" s="123" t="s">
        <v>243</v>
      </c>
      <c r="F761" s="123">
        <v>0</v>
      </c>
      <c r="G761" s="89"/>
      <c r="H761" s="89"/>
      <c r="I761" s="89"/>
      <c r="J761" s="89"/>
      <c r="K761" s="89"/>
      <c r="L761" s="69"/>
      <c r="M761" s="69"/>
      <c r="N761" s="69"/>
      <c r="O761" s="42" t="e">
        <f>'PLANILHA ORÇAMENTÁRIA BASE'!#REF!</f>
        <v>#REF!</v>
      </c>
      <c r="P761" s="128" t="s">
        <v>2229</v>
      </c>
      <c r="Q761" s="90">
        <v>0</v>
      </c>
      <c r="R761" s="90" t="e">
        <f t="shared" si="10"/>
        <v>#REF!</v>
      </c>
      <c r="S761" s="71" t="e">
        <f t="shared" si="11"/>
        <v>#REF!</v>
      </c>
    </row>
    <row r="762" spans="1:19" ht="38.25">
      <c r="A762" s="122" t="s">
        <v>1907</v>
      </c>
      <c r="B762" s="123" t="s">
        <v>1901</v>
      </c>
      <c r="C762" s="125" t="s">
        <v>1810</v>
      </c>
      <c r="D762" s="134" t="s">
        <v>1908</v>
      </c>
      <c r="E762" s="123" t="s">
        <v>243</v>
      </c>
      <c r="F762" s="123">
        <v>0</v>
      </c>
      <c r="G762" s="89"/>
      <c r="H762" s="89"/>
      <c r="I762" s="89"/>
      <c r="J762" s="89"/>
      <c r="K762" s="89"/>
      <c r="L762" s="69"/>
      <c r="M762" s="69"/>
      <c r="N762" s="69"/>
      <c r="O762" s="42" t="e">
        <f>'PLANILHA ORÇAMENTÁRIA BASE'!#REF!</f>
        <v>#REF!</v>
      </c>
      <c r="P762" s="128" t="s">
        <v>2229</v>
      </c>
      <c r="Q762" s="90">
        <v>0</v>
      </c>
      <c r="R762" s="90" t="e">
        <f t="shared" si="10"/>
        <v>#REF!</v>
      </c>
      <c r="S762" s="71" t="e">
        <f t="shared" si="11"/>
        <v>#REF!</v>
      </c>
    </row>
    <row r="763" spans="1:19" ht="38.25">
      <c r="A763" s="122" t="s">
        <v>1909</v>
      </c>
      <c r="B763" s="123" t="s">
        <v>1901</v>
      </c>
      <c r="C763" s="125" t="s">
        <v>1810</v>
      </c>
      <c r="D763" s="134" t="s">
        <v>1910</v>
      </c>
      <c r="E763" s="123" t="s">
        <v>243</v>
      </c>
      <c r="F763" s="123">
        <v>0</v>
      </c>
      <c r="G763" s="89"/>
      <c r="H763" s="89"/>
      <c r="I763" s="89"/>
      <c r="J763" s="89"/>
      <c r="K763" s="89"/>
      <c r="L763" s="69"/>
      <c r="M763" s="69"/>
      <c r="N763" s="69"/>
      <c r="O763" s="42" t="e">
        <f>'PLANILHA ORÇAMENTÁRIA BASE'!#REF!</f>
        <v>#REF!</v>
      </c>
      <c r="P763" s="128" t="s">
        <v>2229</v>
      </c>
      <c r="Q763" s="90">
        <v>0</v>
      </c>
      <c r="R763" s="90" t="e">
        <f t="shared" si="10"/>
        <v>#REF!</v>
      </c>
      <c r="S763" s="71" t="e">
        <f t="shared" si="11"/>
        <v>#REF!</v>
      </c>
    </row>
    <row r="764" spans="1:19" ht="38.25">
      <c r="A764" s="122" t="s">
        <v>1911</v>
      </c>
      <c r="B764" s="123" t="s">
        <v>1901</v>
      </c>
      <c r="C764" s="125" t="s">
        <v>1810</v>
      </c>
      <c r="D764" s="134" t="s">
        <v>1912</v>
      </c>
      <c r="E764" s="123" t="s">
        <v>243</v>
      </c>
      <c r="F764" s="123">
        <v>0</v>
      </c>
      <c r="G764" s="89"/>
      <c r="H764" s="89"/>
      <c r="I764" s="89"/>
      <c r="J764" s="89"/>
      <c r="K764" s="89"/>
      <c r="L764" s="69"/>
      <c r="M764" s="69"/>
      <c r="N764" s="69"/>
      <c r="O764" s="42" t="e">
        <f>'PLANILHA ORÇAMENTÁRIA BASE'!#REF!</f>
        <v>#REF!</v>
      </c>
      <c r="P764" s="128" t="s">
        <v>2229</v>
      </c>
      <c r="Q764" s="90">
        <v>0</v>
      </c>
      <c r="R764" s="90" t="e">
        <f t="shared" si="10"/>
        <v>#REF!</v>
      </c>
      <c r="S764" s="71" t="e">
        <f t="shared" si="11"/>
        <v>#REF!</v>
      </c>
    </row>
    <row r="765" spans="1:19" ht="38.25">
      <c r="A765" s="122" t="s">
        <v>1913</v>
      </c>
      <c r="B765" s="123" t="s">
        <v>1901</v>
      </c>
      <c r="C765" s="125" t="s">
        <v>1810</v>
      </c>
      <c r="D765" s="134" t="s">
        <v>1914</v>
      </c>
      <c r="E765" s="123" t="s">
        <v>243</v>
      </c>
      <c r="F765" s="123">
        <v>0</v>
      </c>
      <c r="G765" s="89"/>
      <c r="H765" s="89"/>
      <c r="I765" s="89"/>
      <c r="J765" s="89"/>
      <c r="K765" s="89"/>
      <c r="L765" s="69"/>
      <c r="M765" s="69"/>
      <c r="N765" s="69"/>
      <c r="O765" s="42" t="e">
        <f>'PLANILHA ORÇAMENTÁRIA BASE'!#REF!</f>
        <v>#REF!</v>
      </c>
      <c r="P765" s="128" t="s">
        <v>2229</v>
      </c>
      <c r="Q765" s="90">
        <v>0</v>
      </c>
      <c r="R765" s="90" t="e">
        <f t="shared" si="10"/>
        <v>#REF!</v>
      </c>
      <c r="S765" s="71" t="e">
        <f t="shared" si="11"/>
        <v>#REF!</v>
      </c>
    </row>
    <row r="766" spans="1:19" ht="38.25">
      <c r="A766" s="122" t="s">
        <v>1915</v>
      </c>
      <c r="B766" s="123" t="s">
        <v>1901</v>
      </c>
      <c r="C766" s="125" t="s">
        <v>1810</v>
      </c>
      <c r="D766" s="134" t="s">
        <v>1916</v>
      </c>
      <c r="E766" s="123" t="s">
        <v>243</v>
      </c>
      <c r="F766" s="123">
        <v>0</v>
      </c>
      <c r="G766" s="89"/>
      <c r="H766" s="89"/>
      <c r="I766" s="89"/>
      <c r="J766" s="89"/>
      <c r="K766" s="89"/>
      <c r="L766" s="69"/>
      <c r="M766" s="69"/>
      <c r="N766" s="69"/>
      <c r="O766" s="42" t="e">
        <f>'PLANILHA ORÇAMENTÁRIA BASE'!#REF!</f>
        <v>#REF!</v>
      </c>
      <c r="P766" s="128" t="s">
        <v>2229</v>
      </c>
      <c r="Q766" s="90">
        <v>0</v>
      </c>
      <c r="R766" s="90" t="e">
        <f t="shared" si="10"/>
        <v>#REF!</v>
      </c>
      <c r="S766" s="71" t="e">
        <f t="shared" si="11"/>
        <v>#REF!</v>
      </c>
    </row>
    <row r="767" spans="1:19" ht="38.25">
      <c r="A767" s="122" t="s">
        <v>1917</v>
      </c>
      <c r="B767" s="123" t="s">
        <v>1901</v>
      </c>
      <c r="C767" s="125" t="s">
        <v>1810</v>
      </c>
      <c r="D767" s="134" t="s">
        <v>1918</v>
      </c>
      <c r="E767" s="123" t="s">
        <v>243</v>
      </c>
      <c r="F767" s="123">
        <v>0</v>
      </c>
      <c r="G767" s="89"/>
      <c r="H767" s="89"/>
      <c r="I767" s="89"/>
      <c r="J767" s="89"/>
      <c r="K767" s="89"/>
      <c r="L767" s="69"/>
      <c r="M767" s="69"/>
      <c r="N767" s="69"/>
      <c r="O767" s="42" t="e">
        <f>'PLANILHA ORÇAMENTÁRIA BASE'!#REF!</f>
        <v>#REF!</v>
      </c>
      <c r="P767" s="128" t="s">
        <v>2229</v>
      </c>
      <c r="Q767" s="90">
        <v>0</v>
      </c>
      <c r="R767" s="90" t="e">
        <f t="shared" si="10"/>
        <v>#REF!</v>
      </c>
      <c r="S767" s="71" t="e">
        <f t="shared" si="11"/>
        <v>#REF!</v>
      </c>
    </row>
    <row r="768" spans="1:19" ht="38.25">
      <c r="A768" s="122" t="s">
        <v>1919</v>
      </c>
      <c r="B768" s="123" t="s">
        <v>1901</v>
      </c>
      <c r="C768" s="125" t="s">
        <v>1810</v>
      </c>
      <c r="D768" s="134" t="s">
        <v>1920</v>
      </c>
      <c r="E768" s="123" t="s">
        <v>243</v>
      </c>
      <c r="F768" s="123">
        <v>0</v>
      </c>
      <c r="G768" s="89"/>
      <c r="H768" s="89"/>
      <c r="I768" s="89"/>
      <c r="J768" s="89"/>
      <c r="K768" s="89"/>
      <c r="L768" s="69"/>
      <c r="M768" s="69"/>
      <c r="N768" s="69"/>
      <c r="O768" s="42" t="e">
        <f>'PLANILHA ORÇAMENTÁRIA BASE'!#REF!</f>
        <v>#REF!</v>
      </c>
      <c r="P768" s="128" t="s">
        <v>2229</v>
      </c>
      <c r="Q768" s="90">
        <v>0</v>
      </c>
      <c r="R768" s="90" t="e">
        <f t="shared" si="10"/>
        <v>#REF!</v>
      </c>
      <c r="S768" s="71" t="e">
        <f t="shared" si="11"/>
        <v>#REF!</v>
      </c>
    </row>
    <row r="769" spans="1:41" ht="38.25">
      <c r="A769" s="122" t="s">
        <v>1921</v>
      </c>
      <c r="B769" s="123" t="s">
        <v>1901</v>
      </c>
      <c r="C769" s="125" t="s">
        <v>1810</v>
      </c>
      <c r="D769" s="134" t="s">
        <v>1922</v>
      </c>
      <c r="E769" s="123" t="s">
        <v>243</v>
      </c>
      <c r="F769" s="123">
        <v>0</v>
      </c>
      <c r="G769" s="89"/>
      <c r="H769" s="89"/>
      <c r="I769" s="89"/>
      <c r="J769" s="89"/>
      <c r="K769" s="89"/>
      <c r="L769" s="69"/>
      <c r="M769" s="69"/>
      <c r="N769" s="69"/>
      <c r="O769" s="42" t="e">
        <f>'PLANILHA ORÇAMENTÁRIA BASE'!#REF!</f>
        <v>#REF!</v>
      </c>
      <c r="P769" s="128" t="s">
        <v>2229</v>
      </c>
      <c r="Q769" s="90">
        <v>0</v>
      </c>
      <c r="R769" s="90" t="e">
        <f t="shared" si="10"/>
        <v>#REF!</v>
      </c>
      <c r="S769" s="71" t="e">
        <f t="shared" si="11"/>
        <v>#REF!</v>
      </c>
    </row>
    <row r="770" spans="1:41" ht="38.25">
      <c r="A770" s="122" t="s">
        <v>1923</v>
      </c>
      <c r="B770" s="123" t="s">
        <v>1901</v>
      </c>
      <c r="C770" s="125" t="s">
        <v>1810</v>
      </c>
      <c r="D770" s="134" t="s">
        <v>1924</v>
      </c>
      <c r="E770" s="123" t="s">
        <v>243</v>
      </c>
      <c r="F770" s="123">
        <v>0</v>
      </c>
      <c r="G770" s="36">
        <v>32.7309884944789</v>
      </c>
      <c r="H770" s="89"/>
      <c r="I770" s="89"/>
      <c r="J770" s="89"/>
      <c r="K770" s="89"/>
      <c r="L770" s="69"/>
      <c r="M770" s="69"/>
      <c r="N770" s="69"/>
      <c r="O770" s="42" t="e">
        <f>'PLANILHA ORÇAMENTÁRIA BASE'!#REF!</f>
        <v>#REF!</v>
      </c>
      <c r="P770" s="128" t="s">
        <v>2229</v>
      </c>
      <c r="Q770" s="90">
        <v>0</v>
      </c>
      <c r="R770" s="90" t="e">
        <f t="shared" si="10"/>
        <v>#REF!</v>
      </c>
      <c r="S770" s="71" t="e">
        <f t="shared" si="11"/>
        <v>#REF!</v>
      </c>
    </row>
    <row r="771" spans="1:41" s="133" customFormat="1" ht="15">
      <c r="A771" s="130">
        <v>25</v>
      </c>
      <c r="B771" s="131"/>
      <c r="C771" s="135"/>
      <c r="D771" s="136" t="s">
        <v>1925</v>
      </c>
      <c r="E771" s="131"/>
      <c r="F771" s="131"/>
      <c r="G771" s="137">
        <v>65.108436695114904</v>
      </c>
      <c r="H771" s="91"/>
      <c r="I771" s="91"/>
      <c r="J771" s="91"/>
      <c r="K771" s="91"/>
      <c r="L771" s="78"/>
      <c r="M771" s="78"/>
      <c r="N771" s="78"/>
      <c r="O771" s="13"/>
      <c r="P771" s="138"/>
      <c r="Q771" s="92"/>
      <c r="R771" s="92"/>
      <c r="S771" s="92"/>
    </row>
    <row r="772" spans="1:41" ht="38.25">
      <c r="A772" s="122" t="s">
        <v>1926</v>
      </c>
      <c r="B772" s="123" t="s">
        <v>1901</v>
      </c>
      <c r="C772" s="125" t="s">
        <v>1810</v>
      </c>
      <c r="D772" s="134" t="s">
        <v>1927</v>
      </c>
      <c r="E772" s="123" t="s">
        <v>243</v>
      </c>
      <c r="F772" s="123">
        <v>0</v>
      </c>
      <c r="G772" s="36">
        <v>39.585108384786103</v>
      </c>
      <c r="H772" s="89"/>
      <c r="I772" s="89"/>
      <c r="J772" s="89"/>
      <c r="K772" s="89"/>
      <c r="L772" s="69"/>
      <c r="M772" s="69"/>
      <c r="N772" s="69"/>
      <c r="O772" s="42" t="e">
        <f>'PLANILHA ORÇAMENTÁRIA BASE'!#REF!</f>
        <v>#REF!</v>
      </c>
      <c r="P772" s="128" t="s">
        <v>2229</v>
      </c>
      <c r="Q772" s="90">
        <v>0</v>
      </c>
      <c r="R772" s="90" t="e">
        <f t="shared" ref="R772:R782" si="12">O772</f>
        <v>#REF!</v>
      </c>
      <c r="S772" s="71" t="e">
        <f t="shared" ref="S772:S782" si="13">O772+L772</f>
        <v>#REF!</v>
      </c>
    </row>
    <row r="773" spans="1:41" customFormat="1" ht="38.25">
      <c r="A773" s="64" t="s">
        <v>1928</v>
      </c>
      <c r="B773" s="65" t="s">
        <v>1901</v>
      </c>
      <c r="C773" s="65" t="s">
        <v>1810</v>
      </c>
      <c r="D773" s="72" t="s">
        <v>1929</v>
      </c>
      <c r="E773" s="65" t="s">
        <v>243</v>
      </c>
      <c r="F773" s="65">
        <v>0</v>
      </c>
      <c r="G773" s="13"/>
      <c r="H773" s="17"/>
      <c r="I773" s="13"/>
      <c r="J773" s="139"/>
      <c r="K773" s="139"/>
      <c r="L773" s="139"/>
      <c r="M773" s="139"/>
      <c r="N773" s="139"/>
      <c r="O773" s="42" t="e">
        <f>'PLANILHA ORÇAMENTÁRIA BASE'!#REF!</f>
        <v>#REF!</v>
      </c>
      <c r="P773" s="128" t="s">
        <v>2229</v>
      </c>
      <c r="Q773" s="90">
        <v>0</v>
      </c>
      <c r="R773" s="90" t="e">
        <f t="shared" si="12"/>
        <v>#REF!</v>
      </c>
      <c r="S773" s="71" t="e">
        <f t="shared" si="13"/>
        <v>#REF!</v>
      </c>
      <c r="T773" s="37"/>
      <c r="U773" s="37"/>
      <c r="V773" s="42"/>
      <c r="W773" s="37"/>
      <c r="X773" s="20"/>
      <c r="Y773" s="4"/>
      <c r="Z773" s="2"/>
      <c r="AA773" s="2"/>
      <c r="AB773" s="16"/>
      <c r="AC773" s="16"/>
      <c r="AD773" s="38"/>
      <c r="AE773" s="25"/>
      <c r="AF773" s="25"/>
      <c r="AH773" s="5"/>
      <c r="AL773" s="39"/>
      <c r="AM773" s="30"/>
      <c r="AN773" s="31"/>
      <c r="AO773" s="16"/>
    </row>
    <row r="774" spans="1:41" ht="38.25">
      <c r="A774" s="122" t="s">
        <v>1930</v>
      </c>
      <c r="B774" s="123" t="s">
        <v>1901</v>
      </c>
      <c r="C774" s="125" t="s">
        <v>1810</v>
      </c>
      <c r="D774" s="124" t="s">
        <v>1916</v>
      </c>
      <c r="E774" s="123" t="s">
        <v>243</v>
      </c>
      <c r="F774" s="123">
        <v>0</v>
      </c>
      <c r="G774" s="89"/>
      <c r="H774" s="89"/>
      <c r="I774" s="89"/>
      <c r="J774" s="89"/>
      <c r="K774" s="89"/>
      <c r="L774" s="69"/>
      <c r="M774" s="69"/>
      <c r="N774" s="69"/>
      <c r="O774" s="42" t="e">
        <f>'PLANILHA ORÇAMENTÁRIA BASE'!#REF!</f>
        <v>#REF!</v>
      </c>
      <c r="P774" s="128" t="s">
        <v>2229</v>
      </c>
      <c r="Q774" s="90">
        <v>0</v>
      </c>
      <c r="R774" s="90" t="e">
        <f t="shared" si="12"/>
        <v>#REF!</v>
      </c>
      <c r="S774" s="71" t="e">
        <f t="shared" si="13"/>
        <v>#REF!</v>
      </c>
    </row>
    <row r="775" spans="1:41" ht="38.25">
      <c r="A775" s="122" t="s">
        <v>1931</v>
      </c>
      <c r="B775" s="123" t="s">
        <v>1901</v>
      </c>
      <c r="C775" s="125" t="s">
        <v>1810</v>
      </c>
      <c r="D775" s="124" t="s">
        <v>1932</v>
      </c>
      <c r="E775" s="123" t="s">
        <v>243</v>
      </c>
      <c r="F775" s="123">
        <v>0</v>
      </c>
      <c r="G775" s="89"/>
      <c r="H775" s="89"/>
      <c r="I775" s="89"/>
      <c r="J775" s="89"/>
      <c r="K775" s="89"/>
      <c r="L775" s="69"/>
      <c r="M775" s="69"/>
      <c r="N775" s="69"/>
      <c r="O775" s="42" t="e">
        <f>'PLANILHA ORÇAMENTÁRIA BASE'!#REF!</f>
        <v>#REF!</v>
      </c>
      <c r="P775" s="128" t="s">
        <v>2229</v>
      </c>
      <c r="Q775" s="90">
        <v>0</v>
      </c>
      <c r="R775" s="90" t="e">
        <f t="shared" si="12"/>
        <v>#REF!</v>
      </c>
      <c r="S775" s="71" t="e">
        <f t="shared" si="13"/>
        <v>#REF!</v>
      </c>
    </row>
    <row r="776" spans="1:41" ht="38.25">
      <c r="A776" s="122" t="s">
        <v>1933</v>
      </c>
      <c r="B776" s="123" t="s">
        <v>1901</v>
      </c>
      <c r="C776" s="125" t="s">
        <v>1810</v>
      </c>
      <c r="D776" s="124" t="s">
        <v>1934</v>
      </c>
      <c r="E776" s="123" t="s">
        <v>243</v>
      </c>
      <c r="F776" s="123">
        <v>0</v>
      </c>
      <c r="G776" s="89"/>
      <c r="H776" s="89"/>
      <c r="I776" s="89"/>
      <c r="J776" s="89"/>
      <c r="K776" s="89"/>
      <c r="L776" s="69"/>
      <c r="M776" s="69"/>
      <c r="N776" s="69"/>
      <c r="O776" s="42" t="e">
        <f>'PLANILHA ORÇAMENTÁRIA BASE'!#REF!</f>
        <v>#REF!</v>
      </c>
      <c r="P776" s="128" t="s">
        <v>2229</v>
      </c>
      <c r="Q776" s="90">
        <v>0</v>
      </c>
      <c r="R776" s="90" t="e">
        <f t="shared" si="12"/>
        <v>#REF!</v>
      </c>
      <c r="S776" s="71" t="e">
        <f t="shared" si="13"/>
        <v>#REF!</v>
      </c>
    </row>
    <row r="777" spans="1:41" ht="38.25">
      <c r="A777" s="122" t="s">
        <v>1935</v>
      </c>
      <c r="B777" s="123" t="s">
        <v>1901</v>
      </c>
      <c r="C777" s="125" t="s">
        <v>1810</v>
      </c>
      <c r="D777" s="124" t="s">
        <v>1936</v>
      </c>
      <c r="E777" s="123" t="s">
        <v>243</v>
      </c>
      <c r="F777" s="123">
        <v>0</v>
      </c>
      <c r="G777" s="89"/>
      <c r="H777" s="89"/>
      <c r="I777" s="89"/>
      <c r="J777" s="89"/>
      <c r="K777" s="89"/>
      <c r="L777" s="69"/>
      <c r="M777" s="69"/>
      <c r="N777" s="69"/>
      <c r="O777" s="42" t="e">
        <f>'PLANILHA ORÇAMENTÁRIA BASE'!#REF!</f>
        <v>#REF!</v>
      </c>
      <c r="P777" s="128" t="s">
        <v>2229</v>
      </c>
      <c r="Q777" s="90">
        <v>0</v>
      </c>
      <c r="R777" s="90" t="e">
        <f t="shared" si="12"/>
        <v>#REF!</v>
      </c>
      <c r="S777" s="71" t="e">
        <f t="shared" si="13"/>
        <v>#REF!</v>
      </c>
    </row>
    <row r="778" spans="1:41" ht="38.25">
      <c r="A778" s="122" t="s">
        <v>1937</v>
      </c>
      <c r="B778" s="123" t="s">
        <v>1901</v>
      </c>
      <c r="C778" s="125" t="s">
        <v>1810</v>
      </c>
      <c r="D778" s="124" t="s">
        <v>1938</v>
      </c>
      <c r="E778" s="123" t="s">
        <v>243</v>
      </c>
      <c r="F778" s="123">
        <v>0</v>
      </c>
      <c r="G778" s="89"/>
      <c r="H778" s="89"/>
      <c r="I778" s="89"/>
      <c r="J778" s="89"/>
      <c r="K778" s="89"/>
      <c r="L778" s="69"/>
      <c r="M778" s="69"/>
      <c r="N778" s="69"/>
      <c r="O778" s="42" t="e">
        <f>'PLANILHA ORÇAMENTÁRIA BASE'!#REF!</f>
        <v>#REF!</v>
      </c>
      <c r="P778" s="128" t="s">
        <v>2229</v>
      </c>
      <c r="Q778" s="90">
        <v>0</v>
      </c>
      <c r="R778" s="90" t="e">
        <f t="shared" si="12"/>
        <v>#REF!</v>
      </c>
      <c r="S778" s="71" t="e">
        <f t="shared" si="13"/>
        <v>#REF!</v>
      </c>
    </row>
    <row r="779" spans="1:41" ht="38.25">
      <c r="A779" s="122" t="s">
        <v>1939</v>
      </c>
      <c r="B779" s="123" t="s">
        <v>1901</v>
      </c>
      <c r="C779" s="125" t="s">
        <v>1810</v>
      </c>
      <c r="D779" s="124" t="s">
        <v>1940</v>
      </c>
      <c r="E779" s="123" t="s">
        <v>243</v>
      </c>
      <c r="F779" s="123">
        <v>0</v>
      </c>
      <c r="G779" s="89"/>
      <c r="H779" s="89"/>
      <c r="I779" s="89"/>
      <c r="J779" s="89"/>
      <c r="K779" s="89"/>
      <c r="L779" s="69"/>
      <c r="M779" s="69"/>
      <c r="N779" s="69"/>
      <c r="O779" s="42" t="e">
        <f>'PLANILHA ORÇAMENTÁRIA BASE'!#REF!</f>
        <v>#REF!</v>
      </c>
      <c r="P779" s="128" t="s">
        <v>2229</v>
      </c>
      <c r="Q779" s="90">
        <v>0</v>
      </c>
      <c r="R779" s="90" t="e">
        <f t="shared" si="12"/>
        <v>#REF!</v>
      </c>
      <c r="S779" s="71" t="e">
        <f t="shared" si="13"/>
        <v>#REF!</v>
      </c>
    </row>
    <row r="780" spans="1:41" ht="38.25">
      <c r="A780" s="122" t="s">
        <v>1941</v>
      </c>
      <c r="B780" s="123" t="s">
        <v>1901</v>
      </c>
      <c r="C780" s="125" t="s">
        <v>1810</v>
      </c>
      <c r="D780" s="124" t="s">
        <v>1942</v>
      </c>
      <c r="E780" s="123" t="s">
        <v>243</v>
      </c>
      <c r="F780" s="123">
        <v>0</v>
      </c>
      <c r="G780" s="89"/>
      <c r="H780" s="89"/>
      <c r="I780" s="89"/>
      <c r="J780" s="89"/>
      <c r="K780" s="89"/>
      <c r="L780" s="69"/>
      <c r="M780" s="69"/>
      <c r="N780" s="69"/>
      <c r="O780" s="42" t="e">
        <f>'PLANILHA ORÇAMENTÁRIA BASE'!#REF!</f>
        <v>#REF!</v>
      </c>
      <c r="P780" s="128" t="s">
        <v>2229</v>
      </c>
      <c r="Q780" s="90">
        <v>0</v>
      </c>
      <c r="R780" s="90" t="e">
        <f t="shared" si="12"/>
        <v>#REF!</v>
      </c>
      <c r="S780" s="71" t="e">
        <f t="shared" si="13"/>
        <v>#REF!</v>
      </c>
    </row>
    <row r="781" spans="1:41" ht="38.25">
      <c r="A781" s="122" t="s">
        <v>1943</v>
      </c>
      <c r="B781" s="123" t="s">
        <v>1901</v>
      </c>
      <c r="C781" s="125" t="s">
        <v>1810</v>
      </c>
      <c r="D781" s="124" t="s">
        <v>1944</v>
      </c>
      <c r="E781" s="123" t="s">
        <v>243</v>
      </c>
      <c r="F781" s="123">
        <v>0</v>
      </c>
      <c r="G781" s="89"/>
      <c r="H781" s="89"/>
      <c r="I781" s="89"/>
      <c r="J781" s="89"/>
      <c r="K781" s="89"/>
      <c r="L781" s="69"/>
      <c r="M781" s="69"/>
      <c r="N781" s="69"/>
      <c r="O781" s="42" t="e">
        <f>'PLANILHA ORÇAMENTÁRIA BASE'!#REF!</f>
        <v>#REF!</v>
      </c>
      <c r="P781" s="128" t="s">
        <v>2229</v>
      </c>
      <c r="Q781" s="90">
        <v>0</v>
      </c>
      <c r="R781" s="90" t="e">
        <f t="shared" si="12"/>
        <v>#REF!</v>
      </c>
      <c r="S781" s="71" t="e">
        <f t="shared" si="13"/>
        <v>#REF!</v>
      </c>
    </row>
    <row r="782" spans="1:41" ht="38.25">
      <c r="A782" s="122" t="s">
        <v>1945</v>
      </c>
      <c r="B782" s="123" t="s">
        <v>1901</v>
      </c>
      <c r="C782" s="125" t="s">
        <v>1810</v>
      </c>
      <c r="D782" s="124" t="s">
        <v>1946</v>
      </c>
      <c r="E782" s="123" t="s">
        <v>243</v>
      </c>
      <c r="F782" s="123">
        <v>0</v>
      </c>
      <c r="G782" s="126"/>
      <c r="H782" s="126"/>
      <c r="I782" s="126"/>
      <c r="J782" s="126"/>
      <c r="K782" s="126"/>
      <c r="L782" s="127"/>
      <c r="M782" s="127"/>
      <c r="N782" s="127"/>
      <c r="O782" s="42" t="e">
        <f>'PLANILHA ORÇAMENTÁRIA BASE'!#REF!</f>
        <v>#REF!</v>
      </c>
      <c r="P782" s="128" t="s">
        <v>2229</v>
      </c>
      <c r="Q782" s="129">
        <v>0</v>
      </c>
      <c r="R782" s="129" t="e">
        <f t="shared" si="12"/>
        <v>#REF!</v>
      </c>
      <c r="S782" s="71" t="e">
        <f t="shared" si="13"/>
        <v>#REF!</v>
      </c>
    </row>
    <row r="783" spans="1:41" s="133" customFormat="1" ht="15">
      <c r="A783" s="130">
        <v>26</v>
      </c>
      <c r="B783" s="131"/>
      <c r="C783" s="135"/>
      <c r="D783" s="132" t="s">
        <v>1947</v>
      </c>
      <c r="E783" s="131"/>
      <c r="F783" s="131"/>
      <c r="G783" s="91"/>
      <c r="H783" s="91"/>
      <c r="I783" s="91"/>
      <c r="J783" s="91"/>
      <c r="K783" s="91"/>
      <c r="L783" s="78"/>
      <c r="M783" s="78"/>
      <c r="N783" s="78"/>
      <c r="O783" s="13"/>
      <c r="P783" s="138"/>
      <c r="Q783" s="140"/>
      <c r="R783" s="140"/>
      <c r="S783" s="140"/>
    </row>
    <row r="784" spans="1:41" ht="38.25">
      <c r="A784" s="122" t="s">
        <v>1948</v>
      </c>
      <c r="B784" s="123" t="s">
        <v>1901</v>
      </c>
      <c r="C784" s="141" t="s">
        <v>1810</v>
      </c>
      <c r="D784" s="124" t="s">
        <v>1906</v>
      </c>
      <c r="E784" s="123" t="s">
        <v>243</v>
      </c>
      <c r="F784" s="123">
        <v>0</v>
      </c>
      <c r="G784" s="126"/>
      <c r="H784" s="126"/>
      <c r="I784" s="126"/>
      <c r="J784" s="126"/>
      <c r="K784" s="126"/>
      <c r="L784" s="127"/>
      <c r="M784" s="127"/>
      <c r="N784" s="127"/>
      <c r="O784" s="42" t="e">
        <f>'PLANILHA ORÇAMENTÁRIA BASE'!#REF!</f>
        <v>#REF!</v>
      </c>
      <c r="P784" s="128" t="s">
        <v>2229</v>
      </c>
      <c r="Q784" s="129">
        <v>0</v>
      </c>
      <c r="R784" s="129" t="e">
        <f>O784</f>
        <v>#REF!</v>
      </c>
      <c r="S784" s="71" t="e">
        <f>O784+L784</f>
        <v>#REF!</v>
      </c>
    </row>
    <row r="785" spans="1:19" ht="38.25">
      <c r="A785" s="64" t="s">
        <v>1949</v>
      </c>
      <c r="B785" s="65" t="s">
        <v>1901</v>
      </c>
      <c r="C785" s="65" t="s">
        <v>1810</v>
      </c>
      <c r="D785" s="72" t="s">
        <v>1908</v>
      </c>
      <c r="E785" s="65" t="s">
        <v>243</v>
      </c>
      <c r="F785" s="65">
        <v>0</v>
      </c>
      <c r="G785" s="13"/>
      <c r="H785" s="17"/>
      <c r="I785" s="13"/>
      <c r="J785" s="139"/>
      <c r="K785" s="139"/>
      <c r="L785" s="139"/>
      <c r="M785" s="139"/>
      <c r="N785" s="139"/>
      <c r="O785" s="42" t="e">
        <f>'PLANILHA ORÇAMENTÁRIA BASE'!#REF!</f>
        <v>#REF!</v>
      </c>
      <c r="P785" s="128" t="s">
        <v>2229</v>
      </c>
      <c r="Q785" s="129">
        <v>0</v>
      </c>
      <c r="R785" s="129" t="e">
        <f>O785</f>
        <v>#REF!</v>
      </c>
      <c r="S785" s="71" t="e">
        <f>O785+L785</f>
        <v>#REF!</v>
      </c>
    </row>
    <row r="786" spans="1:19" ht="38.25">
      <c r="A786" s="122" t="s">
        <v>1950</v>
      </c>
      <c r="B786" s="123" t="s">
        <v>1901</v>
      </c>
      <c r="C786" s="125" t="s">
        <v>1810</v>
      </c>
      <c r="D786" s="124" t="s">
        <v>1910</v>
      </c>
      <c r="E786" s="123" t="s">
        <v>243</v>
      </c>
      <c r="F786" s="123">
        <v>0</v>
      </c>
      <c r="G786" s="89"/>
      <c r="H786" s="89"/>
      <c r="I786" s="89"/>
      <c r="J786" s="89"/>
      <c r="K786" s="89"/>
      <c r="L786" s="69"/>
      <c r="M786" s="69"/>
      <c r="N786" s="69"/>
      <c r="O786" s="42" t="e">
        <f>'PLANILHA ORÇAMENTÁRIA BASE'!#REF!</f>
        <v>#REF!</v>
      </c>
      <c r="P786" s="128" t="s">
        <v>2229</v>
      </c>
      <c r="Q786" s="129">
        <v>0</v>
      </c>
      <c r="R786" s="129" t="e">
        <f>O786</f>
        <v>#REF!</v>
      </c>
      <c r="S786" s="71" t="e">
        <f>O786+L786</f>
        <v>#REF!</v>
      </c>
    </row>
    <row r="787" spans="1:19" ht="38.25">
      <c r="A787" s="122" t="s">
        <v>1951</v>
      </c>
      <c r="B787" s="123" t="s">
        <v>1901</v>
      </c>
      <c r="C787" s="125" t="s">
        <v>1810</v>
      </c>
      <c r="D787" s="124" t="s">
        <v>1932</v>
      </c>
      <c r="E787" s="123" t="s">
        <v>243</v>
      </c>
      <c r="F787" s="123">
        <v>0</v>
      </c>
      <c r="G787" s="89"/>
      <c r="H787" s="89"/>
      <c r="I787" s="89"/>
      <c r="J787" s="89"/>
      <c r="K787" s="89"/>
      <c r="L787" s="69"/>
      <c r="M787" s="69"/>
      <c r="N787" s="69"/>
      <c r="O787" s="42" t="e">
        <f>'PLANILHA ORÇAMENTÁRIA BASE'!#REF!</f>
        <v>#REF!</v>
      </c>
      <c r="P787" s="128" t="s">
        <v>2229</v>
      </c>
      <c r="Q787" s="129">
        <v>0</v>
      </c>
      <c r="R787" s="129" t="e">
        <f>O787</f>
        <v>#REF!</v>
      </c>
      <c r="S787" s="71" t="e">
        <f>O787+L787</f>
        <v>#REF!</v>
      </c>
    </row>
    <row r="788" spans="1:19" ht="38.25">
      <c r="A788" s="122" t="s">
        <v>1952</v>
      </c>
      <c r="B788" s="123" t="s">
        <v>1901</v>
      </c>
      <c r="C788" s="125" t="s">
        <v>1810</v>
      </c>
      <c r="D788" s="124" t="s">
        <v>1929</v>
      </c>
      <c r="E788" s="123" t="s">
        <v>243</v>
      </c>
      <c r="F788" s="123">
        <v>0</v>
      </c>
      <c r="G788" s="89"/>
      <c r="H788" s="89"/>
      <c r="I788" s="89"/>
      <c r="J788" s="89"/>
      <c r="K788" s="89"/>
      <c r="L788" s="69"/>
      <c r="M788" s="69"/>
      <c r="N788" s="69"/>
      <c r="O788" s="42" t="e">
        <f>'PLANILHA ORÇAMENTÁRIA BASE'!#REF!</f>
        <v>#REF!</v>
      </c>
      <c r="P788" s="128" t="s">
        <v>2229</v>
      </c>
      <c r="Q788" s="129">
        <v>0</v>
      </c>
      <c r="R788" s="129" t="e">
        <f>O788</f>
        <v>#REF!</v>
      </c>
      <c r="S788" s="71" t="e">
        <f>O788+L788</f>
        <v>#REF!</v>
      </c>
    </row>
    <row r="791" spans="1:19">
      <c r="D791" s="142"/>
      <c r="H791" s="49"/>
    </row>
    <row r="792" spans="1:19">
      <c r="C792" s="143"/>
      <c r="D792" s="143" t="s">
        <v>2243</v>
      </c>
      <c r="E792" s="143"/>
      <c r="F792" s="14"/>
      <c r="H792" s="49"/>
    </row>
    <row r="793" spans="1:19">
      <c r="C793" s="143"/>
      <c r="D793" s="143" t="s">
        <v>1804</v>
      </c>
      <c r="E793" s="143"/>
      <c r="F793" s="14"/>
      <c r="H793" s="49"/>
    </row>
    <row r="794" spans="1:19">
      <c r="C794" s="144" t="s">
        <v>1810</v>
      </c>
      <c r="D794" s="144" t="s">
        <v>1831</v>
      </c>
      <c r="E794" s="144" t="s">
        <v>25</v>
      </c>
      <c r="F794" s="144">
        <f>(9.5*5.5)</f>
        <v>52.25</v>
      </c>
      <c r="H794" s="145"/>
    </row>
    <row r="795" spans="1:19" ht="57">
      <c r="C795" s="144" t="s">
        <v>1810</v>
      </c>
      <c r="D795" s="146" t="s">
        <v>134</v>
      </c>
      <c r="E795" s="144" t="s">
        <v>38</v>
      </c>
      <c r="F795" s="144">
        <f>((1.611+0.5+1.611+0.5)*2)+((2.05+0.5+1.3+0.5)*2)+((2.05+0.5+1.3+0.5)*2)+((1.611+0.5+1.611+0.5)*2)</f>
        <v>34.287999999999997</v>
      </c>
      <c r="H795" s="145"/>
    </row>
    <row r="796" spans="1:19" ht="71.25">
      <c r="C796" s="144" t="s">
        <v>133</v>
      </c>
      <c r="D796" s="146" t="s">
        <v>1833</v>
      </c>
      <c r="E796" s="144" t="s">
        <v>107</v>
      </c>
      <c r="F796" s="144">
        <f>(4.5*44)</f>
        <v>198</v>
      </c>
      <c r="H796" s="145"/>
    </row>
    <row r="797" spans="1:19" ht="42.75">
      <c r="C797" s="144" t="s">
        <v>133</v>
      </c>
      <c r="D797" s="146" t="s">
        <v>1835</v>
      </c>
      <c r="E797" s="144" t="s">
        <v>48</v>
      </c>
      <c r="F797" s="144">
        <f>44</f>
        <v>44</v>
      </c>
      <c r="H797" s="145"/>
    </row>
    <row r="798" spans="1:19" ht="42.75">
      <c r="C798" s="144" t="s">
        <v>133</v>
      </c>
      <c r="D798" s="146" t="s">
        <v>151</v>
      </c>
      <c r="E798" s="144" t="s">
        <v>38</v>
      </c>
      <c r="F798" s="144">
        <f>(((1.611*1.611)*2)+((2.05*1.3)*2)+((2.05*1.3)*2+((1.611*1.611)*2)))*0.05</f>
        <v>1.0520642</v>
      </c>
      <c r="H798" s="145"/>
    </row>
    <row r="799" spans="1:19" ht="42.75">
      <c r="C799" s="144" t="s">
        <v>133</v>
      </c>
      <c r="D799" s="147" t="s">
        <v>162</v>
      </c>
      <c r="E799" s="144" t="s">
        <v>1741</v>
      </c>
      <c r="F799" s="144">
        <f>(34.6+103)</f>
        <v>137.6</v>
      </c>
      <c r="H799" s="145"/>
    </row>
    <row r="800" spans="1:19" ht="42.75">
      <c r="C800" s="144" t="s">
        <v>133</v>
      </c>
      <c r="D800" s="147" t="s">
        <v>164</v>
      </c>
      <c r="E800" s="144" t="s">
        <v>1741</v>
      </c>
      <c r="F800" s="144">
        <f>(84.7+306.7)</f>
        <v>391.4</v>
      </c>
      <c r="H800" s="145"/>
    </row>
    <row r="801" spans="2:8" ht="42.75">
      <c r="C801" s="144" t="s">
        <v>133</v>
      </c>
      <c r="D801" s="147" t="s">
        <v>166</v>
      </c>
      <c r="E801" s="144" t="s">
        <v>1741</v>
      </c>
      <c r="F801" s="144">
        <f>(1598.6+218.1)</f>
        <v>1816.6999999999998</v>
      </c>
      <c r="H801" s="145"/>
    </row>
    <row r="802" spans="2:8" ht="42.75">
      <c r="C802" s="144" t="s">
        <v>1810</v>
      </c>
      <c r="D802" s="147" t="s">
        <v>1861</v>
      </c>
      <c r="E802" s="144" t="s">
        <v>1741</v>
      </c>
      <c r="F802" s="144">
        <f>(203.6+99)</f>
        <v>302.60000000000002</v>
      </c>
      <c r="H802" s="145"/>
    </row>
    <row r="803" spans="2:8" ht="57">
      <c r="C803" s="144" t="s">
        <v>133</v>
      </c>
      <c r="D803" s="147" t="s">
        <v>153</v>
      </c>
      <c r="E803" s="144" t="s">
        <v>25</v>
      </c>
      <c r="F803" s="144">
        <f>((1.611*0.75*4)*4)+((2.3*0.75*2+1.3*0.75*2)*4)</f>
        <v>40.932000000000002</v>
      </c>
      <c r="H803" s="145"/>
    </row>
    <row r="804" spans="2:8" ht="42.75">
      <c r="C804" s="144" t="s">
        <v>133</v>
      </c>
      <c r="D804" s="147" t="s">
        <v>155</v>
      </c>
      <c r="E804" s="144" t="s">
        <v>38</v>
      </c>
      <c r="F804" s="144">
        <f>(((1.611*1.611)*2)+((2.05*1.3)*2)+((2.05*1.3)*2+((1.611*1.611)*2)))*0.75</f>
        <v>15.780962999999998</v>
      </c>
      <c r="H804" s="145"/>
    </row>
    <row r="805" spans="2:8" ht="28.5">
      <c r="C805" s="144" t="s">
        <v>1810</v>
      </c>
      <c r="D805" s="147" t="s">
        <v>2244</v>
      </c>
      <c r="E805" s="144" t="s">
        <v>38</v>
      </c>
      <c r="F805" s="144">
        <f>F795-F798-F804</f>
        <v>17.4549728</v>
      </c>
      <c r="H805" s="145"/>
    </row>
    <row r="806" spans="2:8">
      <c r="D806" s="142"/>
      <c r="H806" s="49"/>
    </row>
    <row r="807" spans="2:8">
      <c r="D807" s="142"/>
      <c r="H807" s="49">
        <v>26631.45</v>
      </c>
    </row>
    <row r="808" spans="2:8">
      <c r="D808" s="142"/>
      <c r="H808" s="49"/>
    </row>
    <row r="809" spans="2:8">
      <c r="D809" s="142"/>
      <c r="H809" s="49"/>
    </row>
    <row r="810" spans="2:8">
      <c r="D810" s="142"/>
      <c r="H810" s="49"/>
    </row>
    <row r="811" spans="2:8">
      <c r="D811" s="142"/>
      <c r="H811" s="49"/>
    </row>
    <row r="812" spans="2:8">
      <c r="D812" s="142"/>
      <c r="H812" s="49"/>
    </row>
    <row r="813" spans="2:8">
      <c r="D813" s="142"/>
      <c r="H813" s="49"/>
    </row>
    <row r="814" spans="2:8">
      <c r="D814" s="142"/>
      <c r="H814" s="49"/>
    </row>
    <row r="815" spans="2:8">
      <c r="B815" s="142"/>
      <c r="D815" s="47"/>
      <c r="H815" s="49"/>
    </row>
  </sheetData>
  <mergeCells count="158">
    <mergeCell ref="G144:I144"/>
    <mergeCell ref="G145:I145"/>
    <mergeCell ref="G146:I146"/>
    <mergeCell ref="G147:I147"/>
    <mergeCell ref="G148:I148"/>
    <mergeCell ref="G149:I149"/>
    <mergeCell ref="G150:I150"/>
    <mergeCell ref="G151:I151"/>
    <mergeCell ref="G134:I134"/>
    <mergeCell ref="G136:I136"/>
    <mergeCell ref="G137:I137"/>
    <mergeCell ref="G138:I138"/>
    <mergeCell ref="G139:I139"/>
    <mergeCell ref="G140:I140"/>
    <mergeCell ref="G141:I141"/>
    <mergeCell ref="G142:I142"/>
    <mergeCell ref="G143:I143"/>
    <mergeCell ref="G123:I123"/>
    <mergeCell ref="G124:I124"/>
    <mergeCell ref="G125:I125"/>
    <mergeCell ref="G126:I126"/>
    <mergeCell ref="G128:I128"/>
    <mergeCell ref="G130:I130"/>
    <mergeCell ref="G131:I131"/>
    <mergeCell ref="G132:I132"/>
    <mergeCell ref="G133:I133"/>
    <mergeCell ref="G114:I114"/>
    <mergeCell ref="G115:I115"/>
    <mergeCell ref="G116:I116"/>
    <mergeCell ref="G117:I117"/>
    <mergeCell ref="G118:I118"/>
    <mergeCell ref="G119:I119"/>
    <mergeCell ref="G120:I120"/>
    <mergeCell ref="G121:I121"/>
    <mergeCell ref="G122:I122"/>
    <mergeCell ref="G105:I105"/>
    <mergeCell ref="G106:I106"/>
    <mergeCell ref="G107:I107"/>
    <mergeCell ref="G108:I108"/>
    <mergeCell ref="G109:I109"/>
    <mergeCell ref="G110:I110"/>
    <mergeCell ref="G111:I111"/>
    <mergeCell ref="G112:I112"/>
    <mergeCell ref="G113:I113"/>
    <mergeCell ref="G96:I96"/>
    <mergeCell ref="G97:I97"/>
    <mergeCell ref="G98:I98"/>
    <mergeCell ref="G99:I99"/>
    <mergeCell ref="G100:I100"/>
    <mergeCell ref="G101:I101"/>
    <mergeCell ref="G102:I102"/>
    <mergeCell ref="G103:I103"/>
    <mergeCell ref="G104:I104"/>
    <mergeCell ref="G87:I87"/>
    <mergeCell ref="G88:I88"/>
    <mergeCell ref="G89:I89"/>
    <mergeCell ref="G90:I90"/>
    <mergeCell ref="G91:I91"/>
    <mergeCell ref="G92:I92"/>
    <mergeCell ref="G93:I93"/>
    <mergeCell ref="G94:I94"/>
    <mergeCell ref="G95:I95"/>
    <mergeCell ref="G78:I78"/>
    <mergeCell ref="G79:I79"/>
    <mergeCell ref="G80:I80"/>
    <mergeCell ref="G81:I81"/>
    <mergeCell ref="G82:I82"/>
    <mergeCell ref="G83:I83"/>
    <mergeCell ref="G84:I84"/>
    <mergeCell ref="G85:I85"/>
    <mergeCell ref="G86:I86"/>
    <mergeCell ref="G68:I68"/>
    <mergeCell ref="G69:I69"/>
    <mergeCell ref="G71:I71"/>
    <mergeCell ref="G72:I72"/>
    <mergeCell ref="G73:I73"/>
    <mergeCell ref="G74:I74"/>
    <mergeCell ref="G75:I75"/>
    <mergeCell ref="G76:I76"/>
    <mergeCell ref="G77:I77"/>
    <mergeCell ref="G59:I59"/>
    <mergeCell ref="G60:I60"/>
    <mergeCell ref="G61:I61"/>
    <mergeCell ref="G62:I62"/>
    <mergeCell ref="G63:I63"/>
    <mergeCell ref="G64:I64"/>
    <mergeCell ref="G65:I65"/>
    <mergeCell ref="U65:X67"/>
    <mergeCell ref="G66:I66"/>
    <mergeCell ref="G67:I67"/>
    <mergeCell ref="G50:I50"/>
    <mergeCell ref="G51:I51"/>
    <mergeCell ref="G52:I52"/>
    <mergeCell ref="G53:I53"/>
    <mergeCell ref="G54:I54"/>
    <mergeCell ref="G55:I55"/>
    <mergeCell ref="G56:I56"/>
    <mergeCell ref="G57:I57"/>
    <mergeCell ref="G58:I58"/>
    <mergeCell ref="G41:I41"/>
    <mergeCell ref="G42:I42"/>
    <mergeCell ref="G43:I43"/>
    <mergeCell ref="G44:I44"/>
    <mergeCell ref="G45:I45"/>
    <mergeCell ref="G46:I46"/>
    <mergeCell ref="G47:I47"/>
    <mergeCell ref="G48:I48"/>
    <mergeCell ref="G49:I49"/>
    <mergeCell ref="G32:I32"/>
    <mergeCell ref="G33:I33"/>
    <mergeCell ref="G34:I34"/>
    <mergeCell ref="G35:I35"/>
    <mergeCell ref="G36:I36"/>
    <mergeCell ref="G37:I37"/>
    <mergeCell ref="G38:I38"/>
    <mergeCell ref="G39:I39"/>
    <mergeCell ref="G40:I40"/>
    <mergeCell ref="G23:I23"/>
    <mergeCell ref="G24:I24"/>
    <mergeCell ref="G25:I25"/>
    <mergeCell ref="G26:I26"/>
    <mergeCell ref="G27:I27"/>
    <mergeCell ref="G28:I28"/>
    <mergeCell ref="G29:I29"/>
    <mergeCell ref="G30:I30"/>
    <mergeCell ref="G31:I31"/>
    <mergeCell ref="G14:I14"/>
    <mergeCell ref="G15:I15"/>
    <mergeCell ref="G16:I16"/>
    <mergeCell ref="G17:I17"/>
    <mergeCell ref="G18:I18"/>
    <mergeCell ref="G19:I19"/>
    <mergeCell ref="G20:I20"/>
    <mergeCell ref="G21:I21"/>
    <mergeCell ref="G22:I22"/>
    <mergeCell ref="G5:I5"/>
    <mergeCell ref="G6:I6"/>
    <mergeCell ref="G7:I7"/>
    <mergeCell ref="G8:I8"/>
    <mergeCell ref="G9:I9"/>
    <mergeCell ref="G10:I10"/>
    <mergeCell ref="G11:I11"/>
    <mergeCell ref="G12:I12"/>
    <mergeCell ref="G13:I13"/>
    <mergeCell ref="A1:S1"/>
    <mergeCell ref="A2:A4"/>
    <mergeCell ref="B2:B4"/>
    <mergeCell ref="C2:C4"/>
    <mergeCell ref="D2:D4"/>
    <mergeCell ref="E2:E4"/>
    <mergeCell ref="F2:F4"/>
    <mergeCell ref="G2:I3"/>
    <mergeCell ref="J2:L2"/>
    <mergeCell ref="M2:O2"/>
    <mergeCell ref="P2:S2"/>
    <mergeCell ref="P3:Q3"/>
    <mergeCell ref="R3:S3"/>
    <mergeCell ref="G4:I4"/>
  </mergeCells>
  <phoneticPr fontId="41" type="noConversion"/>
  <pageMargins left="0.51180555555555596" right="0.51180555555555596" top="0.66944444444444495" bottom="0.66944444444444495" header="0.511811023622047" footer="0.511811023622047"/>
  <pageSetup paperSize="75" scale="53" fitToHeight="0" orientation="landscape" horizontalDpi="300" verticalDpi="300"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M50"/>
  <sheetViews>
    <sheetView view="pageBreakPreview" zoomScale="70" zoomScaleNormal="100" zoomScalePageLayoutView="70" workbookViewId="0">
      <selection activeCell="K10" sqref="K10"/>
    </sheetView>
  </sheetViews>
  <sheetFormatPr defaultColWidth="8.85546875" defaultRowHeight="12.75"/>
  <cols>
    <col min="1" max="1" width="8.85546875" style="148"/>
    <col min="2" max="2" width="30.28515625" style="148" customWidth="1"/>
    <col min="3" max="10" width="12.28515625" style="148" customWidth="1"/>
    <col min="11" max="11" width="13.5703125" style="148" customWidth="1"/>
    <col min="12" max="12" width="8.85546875" style="148"/>
    <col min="13" max="13" width="14.28515625" style="148" customWidth="1"/>
    <col min="14" max="16384" width="8.85546875" style="148"/>
  </cols>
  <sheetData>
    <row r="2" spans="2:13" ht="22.35" customHeight="1">
      <c r="B2" s="389" t="s">
        <v>2245</v>
      </c>
      <c r="C2" s="389"/>
      <c r="D2" s="389"/>
      <c r="E2" s="389"/>
      <c r="F2" s="389"/>
      <c r="G2" s="389"/>
      <c r="H2" s="389"/>
      <c r="I2" s="389"/>
      <c r="J2" s="389"/>
      <c r="K2" s="389"/>
    </row>
    <row r="3" spans="2:13" ht="14.85" customHeight="1">
      <c r="B3" s="149" t="s">
        <v>2246</v>
      </c>
      <c r="C3" s="390" t="s">
        <v>2247</v>
      </c>
      <c r="D3" s="390"/>
      <c r="E3" s="390"/>
      <c r="F3" s="390"/>
      <c r="G3" s="390"/>
      <c r="H3" s="390"/>
      <c r="I3" s="390"/>
      <c r="J3" s="390"/>
      <c r="K3" s="390"/>
    </row>
    <row r="4" spans="2:13" ht="15.75">
      <c r="B4" s="150" t="s">
        <v>8</v>
      </c>
      <c r="C4" s="391">
        <v>1</v>
      </c>
      <c r="D4" s="391"/>
      <c r="E4" s="391"/>
      <c r="F4" s="391"/>
      <c r="G4" s="391"/>
      <c r="H4" s="391"/>
      <c r="I4" s="391"/>
      <c r="J4" s="391"/>
      <c r="K4" s="391"/>
    </row>
    <row r="5" spans="2:13" ht="33.6" customHeight="1">
      <c r="B5" s="150" t="s">
        <v>10</v>
      </c>
      <c r="C5" s="392" t="s">
        <v>1818</v>
      </c>
      <c r="D5" s="392"/>
      <c r="E5" s="392"/>
      <c r="F5" s="392"/>
      <c r="G5" s="392"/>
      <c r="H5" s="392"/>
      <c r="I5" s="392"/>
      <c r="J5" s="392"/>
      <c r="K5" s="392"/>
    </row>
    <row r="6" spans="2:13" ht="14.45" customHeight="1">
      <c r="B6" s="151" t="s">
        <v>2248</v>
      </c>
      <c r="C6" s="393" t="s">
        <v>107</v>
      </c>
      <c r="D6" s="393"/>
      <c r="E6" s="393"/>
      <c r="F6" s="393"/>
      <c r="G6" s="393"/>
      <c r="H6" s="393"/>
      <c r="I6" s="393"/>
      <c r="J6" s="393"/>
      <c r="K6" s="393"/>
    </row>
    <row r="7" spans="2:13" ht="13.15" customHeight="1">
      <c r="B7" s="398" t="s">
        <v>2249</v>
      </c>
      <c r="C7" s="399" t="s">
        <v>2250</v>
      </c>
      <c r="D7" s="399" t="s">
        <v>1955</v>
      </c>
      <c r="E7" s="399" t="s">
        <v>2251</v>
      </c>
      <c r="F7" s="400"/>
      <c r="G7" s="400"/>
      <c r="H7" s="396" t="s">
        <v>2252</v>
      </c>
      <c r="I7" s="396" t="s">
        <v>2253</v>
      </c>
      <c r="J7" s="396" t="s">
        <v>2254</v>
      </c>
      <c r="K7" s="397" t="s">
        <v>2255</v>
      </c>
    </row>
    <row r="8" spans="2:13">
      <c r="B8" s="398"/>
      <c r="C8" s="399"/>
      <c r="D8" s="399"/>
      <c r="E8" s="399"/>
      <c r="F8" s="152" t="s">
        <v>2256</v>
      </c>
      <c r="G8" s="152" t="s">
        <v>2257</v>
      </c>
      <c r="H8" s="396"/>
      <c r="I8" s="396"/>
      <c r="J8" s="396"/>
      <c r="K8" s="397"/>
    </row>
    <row r="9" spans="2:13" ht="14.45" customHeight="1">
      <c r="B9" s="394" t="s">
        <v>2258</v>
      </c>
      <c r="C9" s="394"/>
      <c r="D9" s="394"/>
      <c r="E9" s="394"/>
      <c r="F9" s="394"/>
      <c r="G9" s="394"/>
      <c r="H9" s="394"/>
      <c r="I9" s="394"/>
      <c r="J9" s="394"/>
      <c r="K9" s="394"/>
    </row>
    <row r="10" spans="2:13" ht="30">
      <c r="B10" s="153" t="s">
        <v>2259</v>
      </c>
      <c r="C10" s="87" t="s">
        <v>2260</v>
      </c>
      <c r="D10" s="87" t="s">
        <v>2261</v>
      </c>
      <c r="E10" s="87" t="s">
        <v>1810</v>
      </c>
      <c r="F10" s="154">
        <v>7.4387040000000004</v>
      </c>
      <c r="G10" s="155">
        <v>1</v>
      </c>
      <c r="H10" s="156">
        <v>8.84</v>
      </c>
      <c r="I10" s="155">
        <v>0</v>
      </c>
      <c r="J10" s="157">
        <f t="shared" ref="J10:J15" si="0">TRUNC(H10+(H10*$C$42),2)</f>
        <v>22.75</v>
      </c>
      <c r="K10" s="158">
        <f t="shared" ref="K10:K15" si="1">TRUNC(SUM(F10*J10),3)</f>
        <v>169.23</v>
      </c>
    </row>
    <row r="11" spans="2:13" ht="30">
      <c r="B11" s="153" t="s">
        <v>2262</v>
      </c>
      <c r="C11" s="87" t="s">
        <v>2260</v>
      </c>
      <c r="D11" s="87" t="s">
        <v>2263</v>
      </c>
      <c r="E11" s="87" t="s">
        <v>1810</v>
      </c>
      <c r="F11" s="154">
        <v>2.9299919999999999</v>
      </c>
      <c r="G11" s="155">
        <v>1</v>
      </c>
      <c r="H11" s="156">
        <v>8.84</v>
      </c>
      <c r="I11" s="155">
        <v>0</v>
      </c>
      <c r="J11" s="157">
        <f t="shared" si="0"/>
        <v>22.75</v>
      </c>
      <c r="K11" s="158">
        <f t="shared" si="1"/>
        <v>66.656999999999996</v>
      </c>
    </row>
    <row r="12" spans="2:13" ht="30">
      <c r="B12" s="153" t="s">
        <v>2264</v>
      </c>
      <c r="C12" s="87" t="s">
        <v>2260</v>
      </c>
      <c r="D12" s="87" t="s">
        <v>2265</v>
      </c>
      <c r="E12" s="87" t="s">
        <v>1810</v>
      </c>
      <c r="F12" s="154">
        <v>1.3887119999999999</v>
      </c>
      <c r="G12" s="155">
        <v>1</v>
      </c>
      <c r="H12" s="156">
        <v>8.84</v>
      </c>
      <c r="I12" s="155">
        <v>0</v>
      </c>
      <c r="J12" s="157">
        <f t="shared" si="0"/>
        <v>22.75</v>
      </c>
      <c r="K12" s="158">
        <f t="shared" si="1"/>
        <v>31.593</v>
      </c>
    </row>
    <row r="13" spans="2:13" ht="30">
      <c r="B13" s="153" t="s">
        <v>2266</v>
      </c>
      <c r="C13" s="87" t="s">
        <v>2260</v>
      </c>
      <c r="D13" s="87" t="s">
        <v>2267</v>
      </c>
      <c r="E13" s="87" t="s">
        <v>1810</v>
      </c>
      <c r="F13" s="154">
        <v>10.68834</v>
      </c>
      <c r="G13" s="155">
        <v>1</v>
      </c>
      <c r="H13" s="156">
        <v>8.84</v>
      </c>
      <c r="I13" s="155">
        <v>0</v>
      </c>
      <c r="J13" s="157">
        <f t="shared" si="0"/>
        <v>22.75</v>
      </c>
      <c r="K13" s="158">
        <f t="shared" si="1"/>
        <v>243.15899999999999</v>
      </c>
    </row>
    <row r="14" spans="2:13" ht="30">
      <c r="B14" s="153" t="s">
        <v>2268</v>
      </c>
      <c r="C14" s="87" t="s">
        <v>2260</v>
      </c>
      <c r="D14" s="87" t="s">
        <v>2269</v>
      </c>
      <c r="E14" s="87" t="s">
        <v>1810</v>
      </c>
      <c r="F14" s="154">
        <v>3.9</v>
      </c>
      <c r="G14" s="155">
        <v>1</v>
      </c>
      <c r="H14" s="156">
        <v>8.84</v>
      </c>
      <c r="I14" s="155">
        <v>0</v>
      </c>
      <c r="J14" s="157">
        <f t="shared" si="0"/>
        <v>22.75</v>
      </c>
      <c r="K14" s="158">
        <f t="shared" si="1"/>
        <v>88.724999999999994</v>
      </c>
    </row>
    <row r="15" spans="2:13" ht="30">
      <c r="B15" s="153" t="s">
        <v>2270</v>
      </c>
      <c r="C15" s="87" t="s">
        <v>2260</v>
      </c>
      <c r="D15" s="87" t="s">
        <v>2271</v>
      </c>
      <c r="E15" s="87" t="s">
        <v>1810</v>
      </c>
      <c r="F15" s="154">
        <v>15.428710000000001</v>
      </c>
      <c r="G15" s="155">
        <v>1</v>
      </c>
      <c r="H15" s="156">
        <v>6.56</v>
      </c>
      <c r="I15" s="155">
        <v>0</v>
      </c>
      <c r="J15" s="157">
        <f t="shared" si="0"/>
        <v>16.88</v>
      </c>
      <c r="K15" s="158">
        <f t="shared" si="1"/>
        <v>260.43599999999998</v>
      </c>
    </row>
    <row r="16" spans="2:13">
      <c r="B16" s="159"/>
      <c r="C16" s="160"/>
      <c r="D16" s="160"/>
      <c r="E16" s="160"/>
      <c r="F16" s="161"/>
      <c r="G16" s="161"/>
      <c r="H16" s="161"/>
      <c r="I16" s="162"/>
      <c r="J16" s="163" t="s">
        <v>2255</v>
      </c>
      <c r="K16" s="164">
        <f>TRUNC(SUM(K10:K15),2)</f>
        <v>859.8</v>
      </c>
      <c r="M16" s="165"/>
    </row>
    <row r="17" spans="2:11" ht="14.45" customHeight="1">
      <c r="B17" s="394" t="s">
        <v>2272</v>
      </c>
      <c r="C17" s="394"/>
      <c r="D17" s="394"/>
      <c r="E17" s="394"/>
      <c r="F17" s="394"/>
      <c r="G17" s="394"/>
      <c r="H17" s="394"/>
      <c r="I17" s="394"/>
      <c r="J17" s="394"/>
      <c r="K17" s="394"/>
    </row>
    <row r="18" spans="2:11" ht="15">
      <c r="B18" s="153" t="s">
        <v>2273</v>
      </c>
      <c r="C18" s="87" t="s">
        <v>2274</v>
      </c>
      <c r="D18" s="87" t="s">
        <v>2275</v>
      </c>
      <c r="E18" s="87" t="s">
        <v>1810</v>
      </c>
      <c r="F18" s="154">
        <v>0.52430399999999999</v>
      </c>
      <c r="G18" s="155">
        <v>1</v>
      </c>
      <c r="H18" s="156">
        <v>126.67</v>
      </c>
      <c r="I18" s="155">
        <v>0</v>
      </c>
      <c r="J18" s="157">
        <f t="shared" ref="J18:J33" si="2">H18</f>
        <v>126.67</v>
      </c>
      <c r="K18" s="158">
        <f t="shared" ref="K18:K33" si="3">TRUNC(SUM(F18*J18),3)</f>
        <v>66.412999999999997</v>
      </c>
    </row>
    <row r="19" spans="2:11" ht="30">
      <c r="B19" s="153" t="s">
        <v>2276</v>
      </c>
      <c r="C19" s="87" t="s">
        <v>160</v>
      </c>
      <c r="D19" s="87" t="s">
        <v>2277</v>
      </c>
      <c r="E19" s="87" t="s">
        <v>1810</v>
      </c>
      <c r="F19" s="154">
        <v>11.31409</v>
      </c>
      <c r="G19" s="155">
        <v>1</v>
      </c>
      <c r="H19" s="156">
        <v>0.92</v>
      </c>
      <c r="I19" s="155">
        <v>0</v>
      </c>
      <c r="J19" s="157">
        <f t="shared" si="2"/>
        <v>0.92</v>
      </c>
      <c r="K19" s="158">
        <f t="shared" si="3"/>
        <v>10.407999999999999</v>
      </c>
    </row>
    <row r="20" spans="2:11" ht="30">
      <c r="B20" s="153" t="s">
        <v>2278</v>
      </c>
      <c r="C20" s="87" t="s">
        <v>160</v>
      </c>
      <c r="D20" s="87" t="s">
        <v>2279</v>
      </c>
      <c r="E20" s="87" t="s">
        <v>1810</v>
      </c>
      <c r="F20" s="154">
        <v>165.37360000000001</v>
      </c>
      <c r="G20" s="155">
        <v>1</v>
      </c>
      <c r="H20" s="156">
        <v>0.59</v>
      </c>
      <c r="I20" s="155">
        <v>0</v>
      </c>
      <c r="J20" s="157">
        <f t="shared" si="2"/>
        <v>0.59</v>
      </c>
      <c r="K20" s="158">
        <f t="shared" si="3"/>
        <v>97.57</v>
      </c>
    </row>
    <row r="21" spans="2:11" ht="15">
      <c r="B21" s="153" t="s">
        <v>2280</v>
      </c>
      <c r="C21" s="87" t="s">
        <v>2274</v>
      </c>
      <c r="D21" s="87" t="s">
        <v>2281</v>
      </c>
      <c r="E21" s="87" t="s">
        <v>1810</v>
      </c>
      <c r="F21" s="154">
        <v>8.3148E-2</v>
      </c>
      <c r="G21" s="155">
        <v>1</v>
      </c>
      <c r="H21" s="156">
        <v>152.5</v>
      </c>
      <c r="I21" s="155">
        <v>0</v>
      </c>
      <c r="J21" s="157">
        <f t="shared" si="2"/>
        <v>152.5</v>
      </c>
      <c r="K21" s="158">
        <f t="shared" si="3"/>
        <v>12.68</v>
      </c>
    </row>
    <row r="22" spans="2:11" ht="15">
      <c r="B22" s="153" t="s">
        <v>2282</v>
      </c>
      <c r="C22" s="87" t="s">
        <v>2274</v>
      </c>
      <c r="D22" s="87" t="s">
        <v>2283</v>
      </c>
      <c r="E22" s="87" t="s">
        <v>1810</v>
      </c>
      <c r="F22" s="154">
        <v>0.19437599999999999</v>
      </c>
      <c r="G22" s="155">
        <v>1</v>
      </c>
      <c r="H22" s="156">
        <v>152.5</v>
      </c>
      <c r="I22" s="155">
        <v>0</v>
      </c>
      <c r="J22" s="157">
        <f t="shared" si="2"/>
        <v>152.5</v>
      </c>
      <c r="K22" s="158">
        <f t="shared" si="3"/>
        <v>29.641999999999999</v>
      </c>
    </row>
    <row r="23" spans="2:11" ht="30">
      <c r="B23" s="153" t="s">
        <v>2284</v>
      </c>
      <c r="C23" s="87" t="s">
        <v>193</v>
      </c>
      <c r="D23" s="87" t="s">
        <v>2285</v>
      </c>
      <c r="E23" s="87" t="s">
        <v>1810</v>
      </c>
      <c r="F23" s="154">
        <v>1.1269439999999999</v>
      </c>
      <c r="G23" s="155">
        <v>1</v>
      </c>
      <c r="H23" s="156">
        <v>4.08</v>
      </c>
      <c r="I23" s="155">
        <v>0</v>
      </c>
      <c r="J23" s="157">
        <f t="shared" si="2"/>
        <v>4.08</v>
      </c>
      <c r="K23" s="158">
        <f t="shared" si="3"/>
        <v>4.5970000000000004</v>
      </c>
    </row>
    <row r="24" spans="2:11" ht="30">
      <c r="B24" s="153" t="s">
        <v>2286</v>
      </c>
      <c r="C24" s="87" t="s">
        <v>193</v>
      </c>
      <c r="D24" s="87" t="s">
        <v>2287</v>
      </c>
      <c r="E24" s="87" t="s">
        <v>1810</v>
      </c>
      <c r="F24" s="154">
        <v>2.2538879999999999</v>
      </c>
      <c r="G24" s="155">
        <v>1</v>
      </c>
      <c r="H24" s="156">
        <v>14.66</v>
      </c>
      <c r="I24" s="155">
        <v>0</v>
      </c>
      <c r="J24" s="157">
        <f t="shared" si="2"/>
        <v>14.66</v>
      </c>
      <c r="K24" s="158">
        <f t="shared" si="3"/>
        <v>33.040999999999997</v>
      </c>
    </row>
    <row r="25" spans="2:11" ht="15">
      <c r="B25" s="153" t="s">
        <v>2288</v>
      </c>
      <c r="C25" s="87" t="s">
        <v>160</v>
      </c>
      <c r="D25" s="87" t="s">
        <v>2289</v>
      </c>
      <c r="E25" s="87" t="s">
        <v>1810</v>
      </c>
      <c r="F25" s="154">
        <v>19.962700000000002</v>
      </c>
      <c r="G25" s="155">
        <v>1</v>
      </c>
      <c r="H25" s="156">
        <v>6.26</v>
      </c>
      <c r="I25" s="155">
        <v>0</v>
      </c>
      <c r="J25" s="157">
        <f t="shared" si="2"/>
        <v>6.26</v>
      </c>
      <c r="K25" s="158">
        <f t="shared" si="3"/>
        <v>124.96599999999999</v>
      </c>
    </row>
    <row r="26" spans="2:11" ht="60">
      <c r="B26" s="153" t="s">
        <v>2290</v>
      </c>
      <c r="C26" s="87" t="s">
        <v>253</v>
      </c>
      <c r="D26" s="87">
        <v>37594</v>
      </c>
      <c r="E26" s="87" t="s">
        <v>133</v>
      </c>
      <c r="F26" s="154">
        <v>97.5</v>
      </c>
      <c r="G26" s="155">
        <v>1</v>
      </c>
      <c r="H26" s="156">
        <v>2.04</v>
      </c>
      <c r="I26" s="155">
        <v>0</v>
      </c>
      <c r="J26" s="157">
        <f t="shared" si="2"/>
        <v>2.04</v>
      </c>
      <c r="K26" s="158">
        <f t="shared" si="3"/>
        <v>198.9</v>
      </c>
    </row>
    <row r="27" spans="2:11" ht="15">
      <c r="B27" s="153" t="s">
        <v>2291</v>
      </c>
      <c r="C27" s="87" t="s">
        <v>160</v>
      </c>
      <c r="D27" s="87" t="s">
        <v>2292</v>
      </c>
      <c r="E27" s="87" t="s">
        <v>1810</v>
      </c>
      <c r="F27" s="154">
        <v>0.33805200000000002</v>
      </c>
      <c r="G27" s="155">
        <v>1</v>
      </c>
      <c r="H27" s="156">
        <v>14.69</v>
      </c>
      <c r="I27" s="155">
        <v>0</v>
      </c>
      <c r="J27" s="157">
        <f t="shared" si="2"/>
        <v>14.69</v>
      </c>
      <c r="K27" s="158">
        <f t="shared" si="3"/>
        <v>4.9649999999999999</v>
      </c>
    </row>
    <row r="28" spans="2:11" ht="30">
      <c r="B28" s="153" t="s">
        <v>2293</v>
      </c>
      <c r="C28" s="87" t="s">
        <v>160</v>
      </c>
      <c r="D28" s="87" t="s">
        <v>2294</v>
      </c>
      <c r="E28" s="87" t="s">
        <v>1810</v>
      </c>
      <c r="F28" s="154">
        <v>0.34725600000000001</v>
      </c>
      <c r="G28" s="155">
        <v>1</v>
      </c>
      <c r="H28" s="156">
        <v>14.52</v>
      </c>
      <c r="I28" s="155">
        <v>0</v>
      </c>
      <c r="J28" s="157">
        <f t="shared" si="2"/>
        <v>14.52</v>
      </c>
      <c r="K28" s="158">
        <f t="shared" si="3"/>
        <v>5.0419999999999998</v>
      </c>
    </row>
    <row r="29" spans="2:11" ht="30">
      <c r="B29" s="153" t="s">
        <v>2295</v>
      </c>
      <c r="C29" s="87" t="s">
        <v>2296</v>
      </c>
      <c r="D29" s="87" t="s">
        <v>2297</v>
      </c>
      <c r="E29" s="87" t="s">
        <v>1810</v>
      </c>
      <c r="F29" s="154">
        <v>0.90152399999999999</v>
      </c>
      <c r="G29" s="155">
        <v>1</v>
      </c>
      <c r="H29" s="156">
        <v>17.25</v>
      </c>
      <c r="I29" s="155">
        <v>0</v>
      </c>
      <c r="J29" s="157">
        <f t="shared" si="2"/>
        <v>17.25</v>
      </c>
      <c r="K29" s="158">
        <f t="shared" si="3"/>
        <v>15.551</v>
      </c>
    </row>
    <row r="30" spans="2:11" ht="30">
      <c r="B30" s="153" t="s">
        <v>2298</v>
      </c>
      <c r="C30" s="87" t="s">
        <v>2296</v>
      </c>
      <c r="D30" s="87" t="s">
        <v>2299</v>
      </c>
      <c r="E30" s="87" t="s">
        <v>1810</v>
      </c>
      <c r="F30" s="154">
        <v>1.8720000000000001</v>
      </c>
      <c r="G30" s="155">
        <v>1</v>
      </c>
      <c r="H30" s="156">
        <v>28.24</v>
      </c>
      <c r="I30" s="155">
        <v>0</v>
      </c>
      <c r="J30" s="157">
        <f t="shared" si="2"/>
        <v>28.24</v>
      </c>
      <c r="K30" s="158">
        <f t="shared" si="3"/>
        <v>52.865000000000002</v>
      </c>
    </row>
    <row r="31" spans="2:11" ht="15">
      <c r="B31" s="153" t="s">
        <v>2300</v>
      </c>
      <c r="C31" s="87" t="s">
        <v>2296</v>
      </c>
      <c r="D31" s="87" t="s">
        <v>2301</v>
      </c>
      <c r="E31" s="87" t="s">
        <v>1810</v>
      </c>
      <c r="F31" s="154">
        <v>0.93600000000000005</v>
      </c>
      <c r="G31" s="155">
        <v>1</v>
      </c>
      <c r="H31" s="156">
        <v>9.2899999999999991</v>
      </c>
      <c r="I31" s="155">
        <v>0</v>
      </c>
      <c r="J31" s="157">
        <f t="shared" si="2"/>
        <v>9.2899999999999991</v>
      </c>
      <c r="K31" s="158">
        <f t="shared" si="3"/>
        <v>8.6950000000000003</v>
      </c>
    </row>
    <row r="32" spans="2:11" ht="30">
      <c r="B32" s="153" t="s">
        <v>2302</v>
      </c>
      <c r="C32" s="87" t="s">
        <v>253</v>
      </c>
      <c r="D32" s="87" t="s">
        <v>2303</v>
      </c>
      <c r="E32" s="87" t="s">
        <v>1810</v>
      </c>
      <c r="F32" s="154">
        <v>1.95</v>
      </c>
      <c r="G32" s="155">
        <v>1</v>
      </c>
      <c r="H32" s="156">
        <v>0.9</v>
      </c>
      <c r="I32" s="155">
        <v>0</v>
      </c>
      <c r="J32" s="157">
        <f t="shared" si="2"/>
        <v>0.9</v>
      </c>
      <c r="K32" s="158">
        <f t="shared" si="3"/>
        <v>1.7549999999999999</v>
      </c>
    </row>
    <row r="33" spans="2:11" ht="75">
      <c r="B33" s="153" t="s">
        <v>2304</v>
      </c>
      <c r="C33" s="87" t="s">
        <v>2305</v>
      </c>
      <c r="D33" s="87" t="s">
        <v>2306</v>
      </c>
      <c r="E33" s="87" t="s">
        <v>1810</v>
      </c>
      <c r="F33" s="154">
        <v>0.25993500000000003</v>
      </c>
      <c r="G33" s="155">
        <v>1</v>
      </c>
      <c r="H33" s="156">
        <v>0.91</v>
      </c>
      <c r="I33" s="155">
        <v>0</v>
      </c>
      <c r="J33" s="157">
        <f t="shared" si="2"/>
        <v>0.91</v>
      </c>
      <c r="K33" s="158">
        <f t="shared" si="3"/>
        <v>0.23599999999999999</v>
      </c>
    </row>
    <row r="34" spans="2:11">
      <c r="B34" s="166"/>
      <c r="C34" s="167"/>
      <c r="D34" s="167"/>
      <c r="E34" s="167"/>
      <c r="F34" s="167"/>
      <c r="G34" s="167"/>
      <c r="H34" s="167"/>
      <c r="I34" s="168"/>
      <c r="J34" s="169" t="s">
        <v>2255</v>
      </c>
      <c r="K34" s="170">
        <f>TRUNC(SUM(K18:K33),2)</f>
        <v>667.32</v>
      </c>
    </row>
    <row r="35" spans="2:11">
      <c r="B35" s="171"/>
      <c r="C35" s="172"/>
      <c r="D35" s="172"/>
      <c r="E35" s="172"/>
      <c r="F35" s="172"/>
      <c r="G35" s="172"/>
      <c r="H35" s="172"/>
      <c r="I35" s="172"/>
      <c r="J35" s="172"/>
      <c r="K35" s="173"/>
    </row>
    <row r="36" spans="2:11" ht="14.45" customHeight="1">
      <c r="B36" s="394" t="s">
        <v>2307</v>
      </c>
      <c r="C36" s="394"/>
      <c r="D36" s="394"/>
      <c r="E36" s="394"/>
      <c r="F36" s="394"/>
      <c r="G36" s="394"/>
      <c r="H36" s="394"/>
      <c r="I36" s="394"/>
      <c r="J36" s="394"/>
      <c r="K36" s="394"/>
    </row>
    <row r="37" spans="2:11" ht="75">
      <c r="B37" s="153" t="s">
        <v>2308</v>
      </c>
      <c r="C37" s="87" t="s">
        <v>253</v>
      </c>
      <c r="D37" s="87" t="s">
        <v>2309</v>
      </c>
      <c r="E37" s="87" t="s">
        <v>1810</v>
      </c>
      <c r="F37" s="174">
        <v>2.87E-5</v>
      </c>
      <c r="G37" s="155">
        <v>1</v>
      </c>
      <c r="H37" s="156">
        <v>4820</v>
      </c>
      <c r="I37" s="155">
        <v>0</v>
      </c>
      <c r="J37" s="157">
        <f>H37</f>
        <v>4820</v>
      </c>
      <c r="K37" s="158">
        <f>TRUNC(SUM(F37*J37),2)</f>
        <v>0.13</v>
      </c>
    </row>
    <row r="38" spans="2:11">
      <c r="B38" s="166"/>
      <c r="C38" s="167"/>
      <c r="D38" s="167"/>
      <c r="E38" s="167"/>
      <c r="F38" s="167"/>
      <c r="G38" s="167"/>
      <c r="H38" s="167"/>
      <c r="I38" s="168"/>
      <c r="J38" s="169" t="s">
        <v>2255</v>
      </c>
      <c r="K38" s="170">
        <f>TRUNC(SUM(K37),2)</f>
        <v>0.13</v>
      </c>
    </row>
    <row r="39" spans="2:11">
      <c r="B39" s="171"/>
      <c r="C39" s="172"/>
      <c r="D39" s="172"/>
      <c r="E39" s="172"/>
      <c r="F39" s="172"/>
      <c r="G39" s="172"/>
      <c r="H39" s="172"/>
      <c r="I39" s="172"/>
      <c r="J39" s="172"/>
      <c r="K39" s="173"/>
    </row>
    <row r="40" spans="2:11">
      <c r="B40" s="175" t="s">
        <v>2310</v>
      </c>
      <c r="C40" s="176"/>
      <c r="D40" s="177"/>
      <c r="E40" s="172"/>
      <c r="F40" s="172"/>
      <c r="G40" s="172"/>
      <c r="H40" s="172"/>
      <c r="I40" s="172"/>
      <c r="J40" s="172"/>
      <c r="K40" s="173"/>
    </row>
    <row r="41" spans="2:11">
      <c r="B41" s="178" t="s">
        <v>2311</v>
      </c>
      <c r="C41" s="179" t="s">
        <v>2312</v>
      </c>
      <c r="D41" s="180" t="s">
        <v>2313</v>
      </c>
      <c r="E41" s="181"/>
      <c r="F41" s="172"/>
      <c r="G41" s="172"/>
      <c r="H41" s="172"/>
      <c r="I41" s="172"/>
      <c r="J41" s="172"/>
      <c r="K41" s="173"/>
    </row>
    <row r="42" spans="2:11">
      <c r="B42" s="182" t="s">
        <v>2314</v>
      </c>
      <c r="C42" s="183">
        <v>1.5737000000000001</v>
      </c>
      <c r="D42" s="184">
        <f>K16</f>
        <v>859.8</v>
      </c>
      <c r="E42" s="185"/>
      <c r="F42" s="172"/>
      <c r="G42" s="172"/>
      <c r="H42" s="172"/>
      <c r="I42" s="172"/>
      <c r="J42" s="172"/>
      <c r="K42" s="173"/>
    </row>
    <row r="43" spans="2:11">
      <c r="B43" s="182" t="s">
        <v>2315</v>
      </c>
      <c r="C43" s="186"/>
      <c r="D43" s="184">
        <f>K34</f>
        <v>667.32</v>
      </c>
      <c r="E43" s="185"/>
      <c r="F43" s="172"/>
      <c r="G43" s="172"/>
      <c r="H43" s="172"/>
      <c r="I43" s="172"/>
      <c r="J43" s="172"/>
      <c r="K43" s="173"/>
    </row>
    <row r="44" spans="2:11">
      <c r="B44" s="182" t="s">
        <v>2316</v>
      </c>
      <c r="C44" s="186"/>
      <c r="D44" s="184">
        <f>K38</f>
        <v>0.13</v>
      </c>
      <c r="E44" s="185"/>
      <c r="F44" s="172"/>
      <c r="G44" s="172"/>
      <c r="H44" s="172"/>
      <c r="I44" s="172"/>
      <c r="J44" s="172"/>
      <c r="K44" s="173"/>
    </row>
    <row r="45" spans="2:11">
      <c r="B45" s="182" t="s">
        <v>2317</v>
      </c>
      <c r="C45" s="186"/>
      <c r="D45" s="184">
        <v>1</v>
      </c>
      <c r="E45" s="185"/>
      <c r="F45" s="172"/>
      <c r="G45" s="172"/>
      <c r="H45" s="172"/>
      <c r="I45" s="172"/>
      <c r="J45" s="172"/>
      <c r="K45" s="173"/>
    </row>
    <row r="46" spans="2:11">
      <c r="B46" s="182" t="s">
        <v>2318</v>
      </c>
      <c r="C46" s="186"/>
      <c r="D46" s="184">
        <f>D42+D44</f>
        <v>859.93</v>
      </c>
      <c r="E46" s="185"/>
      <c r="F46" s="172"/>
      <c r="G46" s="172"/>
      <c r="H46" s="187"/>
      <c r="I46" s="172"/>
      <c r="J46" s="172"/>
      <c r="K46" s="173"/>
    </row>
    <row r="47" spans="2:11" ht="25.5">
      <c r="B47" s="188" t="s">
        <v>2319</v>
      </c>
      <c r="C47" s="186"/>
      <c r="D47" s="184">
        <f>(D42+D44)/D45</f>
        <v>859.93</v>
      </c>
      <c r="E47" s="185"/>
      <c r="F47" s="172"/>
      <c r="G47" s="172"/>
      <c r="H47" s="172"/>
      <c r="I47" s="172"/>
      <c r="J47" s="172"/>
      <c r="K47" s="173"/>
    </row>
    <row r="48" spans="2:11" ht="14.45" customHeight="1">
      <c r="B48" s="182" t="s">
        <v>2320</v>
      </c>
      <c r="C48" s="186"/>
      <c r="D48" s="184">
        <f>D43+D47</f>
        <v>1527.25</v>
      </c>
      <c r="E48" s="185"/>
      <c r="F48" s="172"/>
      <c r="G48" s="172"/>
      <c r="H48" s="172"/>
      <c r="I48" s="172"/>
      <c r="J48" s="172"/>
      <c r="K48" s="173"/>
    </row>
    <row r="49" spans="2:13">
      <c r="B49" s="189" t="s">
        <v>2321</v>
      </c>
      <c r="C49" s="183">
        <v>0</v>
      </c>
      <c r="D49" s="190">
        <f>(D48)*C49</f>
        <v>0</v>
      </c>
      <c r="E49" s="185"/>
      <c r="F49" s="172"/>
      <c r="G49" s="172"/>
      <c r="H49" s="172"/>
      <c r="I49" s="172"/>
      <c r="J49" s="172"/>
      <c r="K49" s="173"/>
      <c r="M49" s="165"/>
    </row>
    <row r="50" spans="2:13" ht="15">
      <c r="B50" s="191" t="s">
        <v>2322</v>
      </c>
      <c r="C50" s="395">
        <f>D48+D49</f>
        <v>1527.25</v>
      </c>
      <c r="D50" s="395"/>
      <c r="E50" s="192"/>
      <c r="F50" s="193"/>
      <c r="G50" s="193"/>
      <c r="H50" s="193"/>
      <c r="I50" s="193"/>
      <c r="J50" s="193"/>
      <c r="K50" s="194"/>
    </row>
  </sheetData>
  <mergeCells count="18">
    <mergeCell ref="B17:K17"/>
    <mergeCell ref="B36:K36"/>
    <mergeCell ref="C50:D50"/>
    <mergeCell ref="H7:H8"/>
    <mergeCell ref="I7:I8"/>
    <mergeCell ref="J7:J8"/>
    <mergeCell ref="K7:K8"/>
    <mergeCell ref="B9:K9"/>
    <mergeCell ref="B7:B8"/>
    <mergeCell ref="C7:C8"/>
    <mergeCell ref="D7:D8"/>
    <mergeCell ref="E7:E8"/>
    <mergeCell ref="F7:G7"/>
    <mergeCell ref="B2:K2"/>
    <mergeCell ref="C3:K3"/>
    <mergeCell ref="C4:K4"/>
    <mergeCell ref="C5:K5"/>
    <mergeCell ref="C6:K6"/>
  </mergeCells>
  <pageMargins left="0.51180555555555596" right="0.51180555555555596" top="0.78749999999999998" bottom="0.78749999999999998" header="0.511811023622047" footer="0.511811023622047"/>
  <pageSetup scale="5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M34"/>
  <sheetViews>
    <sheetView view="pageBreakPreview" topLeftCell="A16" zoomScale="85" zoomScaleNormal="100" zoomScalePageLayoutView="85" workbookViewId="0">
      <selection activeCell="K10" sqref="K10"/>
    </sheetView>
  </sheetViews>
  <sheetFormatPr defaultColWidth="8.85546875" defaultRowHeight="12.75"/>
  <cols>
    <col min="1" max="1" width="8.85546875" style="148"/>
    <col min="2" max="2" width="30.28515625" style="148" customWidth="1"/>
    <col min="3" max="10" width="12.28515625" style="148" customWidth="1"/>
    <col min="11" max="11" width="13.5703125" style="148" customWidth="1"/>
    <col min="12" max="12" width="8.85546875" style="148"/>
    <col min="13" max="13" width="14.28515625" style="148" customWidth="1"/>
    <col min="14" max="16384" width="8.85546875" style="148"/>
  </cols>
  <sheetData>
    <row r="2" spans="2:13" ht="22.35" customHeight="1">
      <c r="B2" s="389" t="s">
        <v>2245</v>
      </c>
      <c r="C2" s="389"/>
      <c r="D2" s="389"/>
      <c r="E2" s="389"/>
      <c r="F2" s="389"/>
      <c r="G2" s="389"/>
      <c r="H2" s="389"/>
      <c r="I2" s="389"/>
      <c r="J2" s="389"/>
      <c r="K2" s="389"/>
    </row>
    <row r="3" spans="2:13" ht="14.85" customHeight="1">
      <c r="B3" s="149" t="s">
        <v>2246</v>
      </c>
      <c r="C3" s="390" t="s">
        <v>2247</v>
      </c>
      <c r="D3" s="390"/>
      <c r="E3" s="390"/>
      <c r="F3" s="390"/>
      <c r="G3" s="390"/>
      <c r="H3" s="390"/>
      <c r="I3" s="390"/>
      <c r="J3" s="390"/>
      <c r="K3" s="390"/>
    </row>
    <row r="4" spans="2:13" ht="15.75">
      <c r="B4" s="150" t="s">
        <v>8</v>
      </c>
      <c r="C4" s="391">
        <v>2</v>
      </c>
      <c r="D4" s="391"/>
      <c r="E4" s="391"/>
      <c r="F4" s="391"/>
      <c r="G4" s="391"/>
      <c r="H4" s="391"/>
      <c r="I4" s="391"/>
      <c r="J4" s="391"/>
      <c r="K4" s="391"/>
    </row>
    <row r="5" spans="2:13" ht="33.6" customHeight="1">
      <c r="B5" s="150" t="s">
        <v>10</v>
      </c>
      <c r="C5" s="392" t="str">
        <f>'MEMORIAL DE CÁLCULO'!D719</f>
        <v>Execução de fechamento em ACM com técnicas de trabalho em altura, incluindo acesso por cordas (IRATA) e uso de plataforma de trabalho em altura PTA</v>
      </c>
      <c r="D5" s="392"/>
      <c r="E5" s="392"/>
      <c r="F5" s="392"/>
      <c r="G5" s="392"/>
      <c r="H5" s="392"/>
      <c r="I5" s="392"/>
      <c r="J5" s="392"/>
      <c r="K5" s="392"/>
    </row>
    <row r="6" spans="2:13" ht="14.45" customHeight="1">
      <c r="B6" s="151" t="s">
        <v>2248</v>
      </c>
      <c r="C6" s="393" t="s">
        <v>25</v>
      </c>
      <c r="D6" s="393"/>
      <c r="E6" s="393"/>
      <c r="F6" s="393"/>
      <c r="G6" s="393"/>
      <c r="H6" s="393"/>
      <c r="I6" s="393"/>
      <c r="J6" s="393"/>
      <c r="K6" s="393"/>
    </row>
    <row r="7" spans="2:13" ht="13.15" customHeight="1">
      <c r="B7" s="398" t="s">
        <v>2249</v>
      </c>
      <c r="C7" s="399" t="s">
        <v>2250</v>
      </c>
      <c r="D7" s="399" t="s">
        <v>1955</v>
      </c>
      <c r="E7" s="399" t="s">
        <v>2251</v>
      </c>
      <c r="F7" s="400"/>
      <c r="G7" s="400"/>
      <c r="H7" s="396" t="s">
        <v>2252</v>
      </c>
      <c r="I7" s="396" t="s">
        <v>2253</v>
      </c>
      <c r="J7" s="396" t="s">
        <v>2254</v>
      </c>
      <c r="K7" s="397" t="s">
        <v>2255</v>
      </c>
    </row>
    <row r="8" spans="2:13">
      <c r="B8" s="398"/>
      <c r="C8" s="399"/>
      <c r="D8" s="399"/>
      <c r="E8" s="399"/>
      <c r="F8" s="152" t="s">
        <v>2256</v>
      </c>
      <c r="G8" s="152" t="s">
        <v>2257</v>
      </c>
      <c r="H8" s="396"/>
      <c r="I8" s="396"/>
      <c r="J8" s="396"/>
      <c r="K8" s="397"/>
    </row>
    <row r="9" spans="2:13" ht="14.45" customHeight="1">
      <c r="B9" s="394" t="s">
        <v>2258</v>
      </c>
      <c r="C9" s="394"/>
      <c r="D9" s="394"/>
      <c r="E9" s="394"/>
      <c r="F9" s="394"/>
      <c r="G9" s="394"/>
      <c r="H9" s="394"/>
      <c r="I9" s="394"/>
      <c r="J9" s="394"/>
      <c r="K9" s="394"/>
    </row>
    <row r="10" spans="2:13" ht="30">
      <c r="B10" s="153" t="s">
        <v>2323</v>
      </c>
      <c r="C10" s="87" t="s">
        <v>2260</v>
      </c>
      <c r="D10" s="87" t="s">
        <v>2324</v>
      </c>
      <c r="E10" s="87" t="s">
        <v>1810</v>
      </c>
      <c r="F10" s="154">
        <v>2</v>
      </c>
      <c r="G10" s="155">
        <v>1</v>
      </c>
      <c r="H10" s="156">
        <v>8.84</v>
      </c>
      <c r="I10" s="155">
        <v>0</v>
      </c>
      <c r="J10" s="157">
        <f>TRUNC(H10+(H10*$C$26),2)</f>
        <v>22.75</v>
      </c>
      <c r="K10" s="158">
        <f>TRUNC(SUM(F10*J10),3)</f>
        <v>45.5</v>
      </c>
    </row>
    <row r="11" spans="2:13" ht="15">
      <c r="B11" s="153" t="s">
        <v>2325</v>
      </c>
      <c r="C11" s="87" t="s">
        <v>2260</v>
      </c>
      <c r="D11" s="87" t="s">
        <v>2326</v>
      </c>
      <c r="E11" s="87" t="s">
        <v>1810</v>
      </c>
      <c r="F11" s="154">
        <v>2</v>
      </c>
      <c r="G11" s="155">
        <v>1</v>
      </c>
      <c r="H11" s="156">
        <v>13.22</v>
      </c>
      <c r="I11" s="155">
        <v>0</v>
      </c>
      <c r="J11" s="157">
        <f>TRUNC(H11+(H11*$C$26),2)</f>
        <v>34.020000000000003</v>
      </c>
      <c r="K11" s="158">
        <f>TRUNC(SUM(F11*J11),3)</f>
        <v>68.040000000000006</v>
      </c>
    </row>
    <row r="12" spans="2:13" ht="30">
      <c r="B12" s="153" t="s">
        <v>2327</v>
      </c>
      <c r="C12" s="87" t="s">
        <v>2260</v>
      </c>
      <c r="D12" s="87" t="s">
        <v>2328</v>
      </c>
      <c r="E12" s="87" t="s">
        <v>1810</v>
      </c>
      <c r="F12" s="154">
        <v>3.9</v>
      </c>
      <c r="G12" s="155">
        <v>1</v>
      </c>
      <c r="H12" s="156">
        <v>7.46</v>
      </c>
      <c r="I12" s="155">
        <v>0</v>
      </c>
      <c r="J12" s="157">
        <f>TRUNC(H12+(H12*$C$26),2)</f>
        <v>19.190000000000001</v>
      </c>
      <c r="K12" s="158">
        <f>TRUNC(SUM(F12*J12),3)</f>
        <v>74.840999999999994</v>
      </c>
    </row>
    <row r="13" spans="2:13">
      <c r="B13" s="159"/>
      <c r="C13" s="160"/>
      <c r="D13" s="160"/>
      <c r="E13" s="160"/>
      <c r="F13" s="161"/>
      <c r="G13" s="161"/>
      <c r="H13" s="161"/>
      <c r="I13" s="162"/>
      <c r="J13" s="163" t="s">
        <v>2255</v>
      </c>
      <c r="K13" s="164">
        <f>TRUNC(SUM(K10:K12),2)</f>
        <v>188.38</v>
      </c>
      <c r="M13" s="165"/>
    </row>
    <row r="14" spans="2:13" ht="14.45" customHeight="1">
      <c r="B14" s="394" t="s">
        <v>2272</v>
      </c>
      <c r="C14" s="394"/>
      <c r="D14" s="394"/>
      <c r="E14" s="394"/>
      <c r="F14" s="394"/>
      <c r="G14" s="394"/>
      <c r="H14" s="394"/>
      <c r="I14" s="394"/>
      <c r="J14" s="394"/>
      <c r="K14" s="394"/>
    </row>
    <row r="15" spans="2:13" ht="15">
      <c r="B15" s="153" t="s">
        <v>2329</v>
      </c>
      <c r="C15" s="87" t="s">
        <v>25</v>
      </c>
      <c r="D15" s="87" t="s">
        <v>2275</v>
      </c>
      <c r="E15" s="87" t="s">
        <v>2330</v>
      </c>
      <c r="F15" s="154">
        <v>1.05</v>
      </c>
      <c r="G15" s="155">
        <v>1</v>
      </c>
      <c r="H15" s="156">
        <v>83.44</v>
      </c>
      <c r="I15" s="155">
        <v>0</v>
      </c>
      <c r="J15" s="157">
        <f>H15</f>
        <v>83.44</v>
      </c>
      <c r="K15" s="158">
        <f>TRUNC(SUM(F15*J15),3)</f>
        <v>87.611999999999995</v>
      </c>
    </row>
    <row r="16" spans="2:13" ht="90">
      <c r="B16" s="153" t="s">
        <v>2331</v>
      </c>
      <c r="C16" s="87" t="s">
        <v>107</v>
      </c>
      <c r="D16" s="87">
        <v>589</v>
      </c>
      <c r="E16" s="87" t="s">
        <v>133</v>
      </c>
      <c r="F16" s="154">
        <v>5.25</v>
      </c>
      <c r="G16" s="155">
        <v>1</v>
      </c>
      <c r="H16" s="156">
        <v>53.96</v>
      </c>
      <c r="I16" s="155">
        <v>0</v>
      </c>
      <c r="J16" s="157">
        <f>H16</f>
        <v>53.96</v>
      </c>
      <c r="K16" s="158">
        <f>TRUNC(SUM(F16*J16),3)</f>
        <v>283.29000000000002</v>
      </c>
    </row>
    <row r="17" spans="2:11" ht="75">
      <c r="B17" s="153" t="s">
        <v>2332</v>
      </c>
      <c r="C17" s="87" t="s">
        <v>48</v>
      </c>
      <c r="D17" s="87" t="s">
        <v>2333</v>
      </c>
      <c r="E17" s="87" t="s">
        <v>133</v>
      </c>
      <c r="F17" s="154">
        <v>16</v>
      </c>
      <c r="G17" s="155">
        <v>1</v>
      </c>
      <c r="H17" s="156">
        <v>2.2799999999999998</v>
      </c>
      <c r="I17" s="155">
        <v>0</v>
      </c>
      <c r="J17" s="157">
        <f>H17</f>
        <v>2.2799999999999998</v>
      </c>
      <c r="K17" s="158">
        <f>TRUNC(SUM(F17*J17),3)</f>
        <v>36.479999999999997</v>
      </c>
    </row>
    <row r="18" spans="2:11">
      <c r="B18" s="166"/>
      <c r="C18" s="167"/>
      <c r="D18" s="167"/>
      <c r="E18" s="167"/>
      <c r="F18" s="167"/>
      <c r="G18" s="167"/>
      <c r="H18" s="167"/>
      <c r="I18" s="168"/>
      <c r="J18" s="169" t="s">
        <v>2255</v>
      </c>
      <c r="K18" s="170">
        <f>TRUNC(SUM(K15:K17),2)</f>
        <v>407.38</v>
      </c>
    </row>
    <row r="19" spans="2:11">
      <c r="B19" s="171"/>
      <c r="C19" s="172"/>
      <c r="D19" s="172"/>
      <c r="E19" s="172"/>
      <c r="F19" s="172"/>
      <c r="G19" s="172"/>
      <c r="H19" s="172"/>
      <c r="I19" s="172"/>
      <c r="J19" s="172"/>
      <c r="K19" s="173"/>
    </row>
    <row r="20" spans="2:11" ht="14.45" customHeight="1">
      <c r="B20" s="394" t="s">
        <v>2307</v>
      </c>
      <c r="C20" s="394"/>
      <c r="D20" s="394"/>
      <c r="E20" s="394"/>
      <c r="F20" s="394"/>
      <c r="G20" s="394"/>
      <c r="H20" s="394"/>
      <c r="I20" s="394"/>
      <c r="J20" s="394"/>
      <c r="K20" s="394"/>
    </row>
    <row r="21" spans="2:11" ht="30">
      <c r="B21" s="153" t="s">
        <v>2334</v>
      </c>
      <c r="C21" s="87" t="s">
        <v>2335</v>
      </c>
      <c r="D21" s="87" t="s">
        <v>2330</v>
      </c>
      <c r="E21" s="87" t="s">
        <v>2330</v>
      </c>
      <c r="F21" s="154">
        <v>4.5450000000000004E-3</v>
      </c>
      <c r="G21" s="155">
        <v>1</v>
      </c>
      <c r="H21" s="156">
        <v>24570.54</v>
      </c>
      <c r="I21" s="155">
        <v>0</v>
      </c>
      <c r="J21" s="157">
        <f>H21</f>
        <v>24570.54</v>
      </c>
      <c r="K21" s="158">
        <f>TRUNC(SUM(F21*J21),2)</f>
        <v>111.67</v>
      </c>
    </row>
    <row r="22" spans="2:11">
      <c r="B22" s="166"/>
      <c r="C22" s="167"/>
      <c r="D22" s="167"/>
      <c r="E22" s="167"/>
      <c r="F22" s="167"/>
      <c r="G22" s="167"/>
      <c r="H22" s="167"/>
      <c r="I22" s="168"/>
      <c r="J22" s="169" t="s">
        <v>2255</v>
      </c>
      <c r="K22" s="170">
        <f>TRUNC(SUM(K21),2)</f>
        <v>111.67</v>
      </c>
    </row>
    <row r="23" spans="2:11">
      <c r="B23" s="171"/>
      <c r="C23" s="172"/>
      <c r="D23" s="172"/>
      <c r="E23" s="172"/>
      <c r="F23" s="172"/>
      <c r="G23" s="172"/>
      <c r="H23" s="172"/>
      <c r="I23" s="172"/>
      <c r="J23" s="172"/>
      <c r="K23" s="173"/>
    </row>
    <row r="24" spans="2:11">
      <c r="B24" s="175" t="s">
        <v>2310</v>
      </c>
      <c r="C24" s="176"/>
      <c r="D24" s="177"/>
      <c r="E24" s="172"/>
      <c r="F24" s="172"/>
      <c r="G24" s="172"/>
      <c r="H24" s="172"/>
      <c r="I24" s="172"/>
      <c r="J24" s="172"/>
      <c r="K24" s="173"/>
    </row>
    <row r="25" spans="2:11">
      <c r="B25" s="178" t="s">
        <v>2311</v>
      </c>
      <c r="C25" s="179" t="s">
        <v>2312</v>
      </c>
      <c r="D25" s="180" t="s">
        <v>2313</v>
      </c>
      <c r="E25" s="181"/>
      <c r="F25" s="172"/>
      <c r="G25" s="172"/>
      <c r="H25" s="172"/>
      <c r="I25" s="172"/>
      <c r="J25" s="172"/>
      <c r="K25" s="173"/>
    </row>
    <row r="26" spans="2:11">
      <c r="B26" s="182" t="s">
        <v>2314</v>
      </c>
      <c r="C26" s="183">
        <v>1.5737000000000001</v>
      </c>
      <c r="D26" s="184">
        <f>K13</f>
        <v>188.38</v>
      </c>
      <c r="E26" s="185"/>
      <c r="F26" s="172"/>
      <c r="G26" s="172"/>
      <c r="H26" s="172"/>
      <c r="I26" s="172"/>
      <c r="J26" s="172"/>
      <c r="K26" s="173"/>
    </row>
    <row r="27" spans="2:11">
      <c r="B27" s="182" t="s">
        <v>2315</v>
      </c>
      <c r="C27" s="186"/>
      <c r="D27" s="184">
        <f>K18</f>
        <v>407.38</v>
      </c>
      <c r="E27" s="185"/>
      <c r="F27" s="172"/>
      <c r="G27" s="172"/>
      <c r="H27" s="172"/>
      <c r="I27" s="172"/>
      <c r="J27" s="172"/>
      <c r="K27" s="173"/>
    </row>
    <row r="28" spans="2:11">
      <c r="B28" s="182" t="s">
        <v>2316</v>
      </c>
      <c r="C28" s="186"/>
      <c r="D28" s="184">
        <f>K22</f>
        <v>111.67</v>
      </c>
      <c r="E28" s="185"/>
      <c r="F28" s="172"/>
      <c r="G28" s="172"/>
      <c r="H28" s="172"/>
      <c r="I28" s="172"/>
      <c r="J28" s="172"/>
      <c r="K28" s="173"/>
    </row>
    <row r="29" spans="2:11">
      <c r="B29" s="182" t="s">
        <v>2317</v>
      </c>
      <c r="C29" s="186"/>
      <c r="D29" s="184">
        <v>1</v>
      </c>
      <c r="E29" s="185"/>
      <c r="F29" s="172"/>
      <c r="G29" s="172"/>
      <c r="H29" s="172"/>
      <c r="I29" s="172"/>
      <c r="J29" s="172"/>
      <c r="K29" s="173"/>
    </row>
    <row r="30" spans="2:11">
      <c r="B30" s="182" t="s">
        <v>2318</v>
      </c>
      <c r="C30" s="186"/>
      <c r="D30" s="184">
        <f>D26+D28</f>
        <v>300.05</v>
      </c>
      <c r="E30" s="185"/>
      <c r="F30" s="172"/>
      <c r="G30" s="172"/>
      <c r="H30" s="187"/>
      <c r="I30" s="172"/>
      <c r="J30" s="172"/>
      <c r="K30" s="173"/>
    </row>
    <row r="31" spans="2:11" ht="25.5">
      <c r="B31" s="188" t="s">
        <v>2319</v>
      </c>
      <c r="C31" s="186"/>
      <c r="D31" s="184">
        <f>(D26+D28)/D29</f>
        <v>300.05</v>
      </c>
      <c r="E31" s="185"/>
      <c r="F31" s="172"/>
      <c r="G31" s="172"/>
      <c r="H31" s="172"/>
      <c r="I31" s="172"/>
      <c r="J31" s="172"/>
      <c r="K31" s="173"/>
    </row>
    <row r="32" spans="2:11" ht="14.45" customHeight="1">
      <c r="B32" s="182" t="s">
        <v>2320</v>
      </c>
      <c r="C32" s="186"/>
      <c r="D32" s="184">
        <f>D27+D31</f>
        <v>707.43000000000006</v>
      </c>
      <c r="E32" s="185"/>
      <c r="F32" s="172"/>
      <c r="G32" s="172"/>
      <c r="H32" s="172"/>
      <c r="I32" s="172"/>
      <c r="J32" s="172"/>
      <c r="K32" s="173"/>
    </row>
    <row r="33" spans="2:13">
      <c r="B33" s="189" t="s">
        <v>2321</v>
      </c>
      <c r="C33" s="183">
        <v>0</v>
      </c>
      <c r="D33" s="190">
        <f>(D32)*C33</f>
        <v>0</v>
      </c>
      <c r="E33" s="185"/>
      <c r="F33" s="172"/>
      <c r="G33" s="172"/>
      <c r="H33" s="172"/>
      <c r="I33" s="172"/>
      <c r="J33" s="172"/>
      <c r="K33" s="173"/>
      <c r="M33" s="165"/>
    </row>
    <row r="34" spans="2:13" ht="15">
      <c r="B34" s="191" t="s">
        <v>2322</v>
      </c>
      <c r="C34" s="395">
        <f>D32+D33</f>
        <v>707.43000000000006</v>
      </c>
      <c r="D34" s="395"/>
      <c r="E34" s="192"/>
      <c r="F34" s="193"/>
      <c r="G34" s="193"/>
      <c r="H34" s="193"/>
      <c r="I34" s="193"/>
      <c r="J34" s="193"/>
      <c r="K34" s="194"/>
    </row>
  </sheetData>
  <mergeCells count="18">
    <mergeCell ref="B14:K14"/>
    <mergeCell ref="B20:K20"/>
    <mergeCell ref="C34:D34"/>
    <mergeCell ref="H7:H8"/>
    <mergeCell ref="I7:I8"/>
    <mergeCell ref="J7:J8"/>
    <mergeCell ref="K7:K8"/>
    <mergeCell ref="B9:K9"/>
    <mergeCell ref="B7:B8"/>
    <mergeCell ref="C7:C8"/>
    <mergeCell ref="D7:D8"/>
    <mergeCell ref="E7:E8"/>
    <mergeCell ref="F7:G7"/>
    <mergeCell ref="B2:K2"/>
    <mergeCell ref="C3:K3"/>
    <mergeCell ref="C4:K4"/>
    <mergeCell ref="C5:K5"/>
    <mergeCell ref="C6:K6"/>
  </mergeCells>
  <pageMargins left="0.51180555555555596" right="0.51180555555555596" top="0.78749999999999998" bottom="0.78749999999999998" header="0.511811023622047" footer="0.511811023622047"/>
  <pageSetup scale="60"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M30"/>
  <sheetViews>
    <sheetView view="pageBreakPreview" zoomScale="70" zoomScaleNormal="100" zoomScalePageLayoutView="70" workbookViewId="0">
      <selection activeCell="K10" sqref="K10"/>
    </sheetView>
  </sheetViews>
  <sheetFormatPr defaultColWidth="8.85546875" defaultRowHeight="12.75"/>
  <cols>
    <col min="1" max="1" width="8.85546875" style="148"/>
    <col min="2" max="2" width="30.28515625" style="148" customWidth="1"/>
    <col min="3" max="10" width="12.28515625" style="148" customWidth="1"/>
    <col min="11" max="11" width="13.5703125" style="148" customWidth="1"/>
    <col min="12" max="12" width="8.85546875" style="148"/>
    <col min="13" max="13" width="14.28515625" style="148" customWidth="1"/>
    <col min="14" max="16384" width="8.85546875" style="148"/>
  </cols>
  <sheetData>
    <row r="2" spans="2:13" ht="22.35" customHeight="1">
      <c r="B2" s="389" t="s">
        <v>2245</v>
      </c>
      <c r="C2" s="389"/>
      <c r="D2" s="389"/>
      <c r="E2" s="389"/>
      <c r="F2" s="389"/>
      <c r="G2" s="389"/>
      <c r="H2" s="389"/>
      <c r="I2" s="389"/>
      <c r="J2" s="389"/>
      <c r="K2" s="389"/>
    </row>
    <row r="3" spans="2:13" ht="14.85" customHeight="1">
      <c r="B3" s="149" t="s">
        <v>2246</v>
      </c>
      <c r="C3" s="390" t="s">
        <v>2247</v>
      </c>
      <c r="D3" s="390"/>
      <c r="E3" s="390"/>
      <c r="F3" s="390"/>
      <c r="G3" s="390"/>
      <c r="H3" s="390"/>
      <c r="I3" s="390"/>
      <c r="J3" s="390"/>
      <c r="K3" s="390"/>
    </row>
    <row r="4" spans="2:13" ht="15.75">
      <c r="B4" s="150" t="s">
        <v>8</v>
      </c>
      <c r="C4" s="391">
        <v>3</v>
      </c>
      <c r="D4" s="391"/>
      <c r="E4" s="391"/>
      <c r="F4" s="391"/>
      <c r="G4" s="391"/>
      <c r="H4" s="391"/>
      <c r="I4" s="391"/>
      <c r="J4" s="391"/>
      <c r="K4" s="391"/>
    </row>
    <row r="5" spans="2:13" ht="33.6" customHeight="1">
      <c r="B5" s="150" t="s">
        <v>10</v>
      </c>
      <c r="C5" s="401" t="s">
        <v>1824</v>
      </c>
      <c r="D5" s="401"/>
      <c r="E5" s="401"/>
      <c r="F5" s="401"/>
      <c r="G5" s="401"/>
      <c r="H5" s="401"/>
      <c r="I5" s="401"/>
      <c r="J5" s="401"/>
      <c r="K5" s="401"/>
    </row>
    <row r="6" spans="2:13" ht="14.45" customHeight="1">
      <c r="B6" s="151" t="s">
        <v>2248</v>
      </c>
      <c r="C6" s="393" t="s">
        <v>25</v>
      </c>
      <c r="D6" s="393"/>
      <c r="E6" s="393"/>
      <c r="F6" s="393"/>
      <c r="G6" s="393"/>
      <c r="H6" s="393"/>
      <c r="I6" s="393"/>
      <c r="J6" s="393"/>
      <c r="K6" s="393"/>
    </row>
    <row r="7" spans="2:13" ht="13.15" customHeight="1">
      <c r="B7" s="398" t="s">
        <v>2249</v>
      </c>
      <c r="C7" s="399" t="s">
        <v>2250</v>
      </c>
      <c r="D7" s="399" t="s">
        <v>1955</v>
      </c>
      <c r="E7" s="399" t="s">
        <v>2251</v>
      </c>
      <c r="F7" s="400"/>
      <c r="G7" s="400"/>
      <c r="H7" s="396" t="s">
        <v>2252</v>
      </c>
      <c r="I7" s="396" t="s">
        <v>2253</v>
      </c>
      <c r="J7" s="396" t="s">
        <v>2254</v>
      </c>
      <c r="K7" s="397" t="s">
        <v>2255</v>
      </c>
    </row>
    <row r="8" spans="2:13">
      <c r="B8" s="398"/>
      <c r="C8" s="399"/>
      <c r="D8" s="399"/>
      <c r="E8" s="399"/>
      <c r="F8" s="152" t="s">
        <v>2256</v>
      </c>
      <c r="G8" s="152" t="s">
        <v>2257</v>
      </c>
      <c r="H8" s="396"/>
      <c r="I8" s="396"/>
      <c r="J8" s="396"/>
      <c r="K8" s="397"/>
    </row>
    <row r="9" spans="2:13" ht="14.45" customHeight="1">
      <c r="B9" s="394" t="s">
        <v>2258</v>
      </c>
      <c r="C9" s="394"/>
      <c r="D9" s="394"/>
      <c r="E9" s="394"/>
      <c r="F9" s="394"/>
      <c r="G9" s="394"/>
      <c r="H9" s="394"/>
      <c r="I9" s="394"/>
      <c r="J9" s="394"/>
      <c r="K9" s="394"/>
    </row>
    <row r="10" spans="2:13" ht="30">
      <c r="B10" s="153" t="s">
        <v>2266</v>
      </c>
      <c r="C10" s="87" t="s">
        <v>2260</v>
      </c>
      <c r="D10" s="87" t="s">
        <v>2336</v>
      </c>
      <c r="E10" s="87" t="s">
        <v>1810</v>
      </c>
      <c r="F10" s="154">
        <v>0.56999999999999995</v>
      </c>
      <c r="G10" s="155">
        <v>1</v>
      </c>
      <c r="H10" s="156">
        <v>8.84</v>
      </c>
      <c r="I10" s="155">
        <v>0</v>
      </c>
      <c r="J10" s="157">
        <f>TRUNC(H10+(H10*$C$22),2)</f>
        <v>22.75</v>
      </c>
      <c r="K10" s="158">
        <f>TRUNC(SUM(F10*J10),3)</f>
        <v>12.967000000000001</v>
      </c>
    </row>
    <row r="11" spans="2:13" ht="30">
      <c r="B11" s="153" t="s">
        <v>2270</v>
      </c>
      <c r="C11" s="87" t="s">
        <v>2260</v>
      </c>
      <c r="D11" s="87" t="s">
        <v>2337</v>
      </c>
      <c r="E11" s="87" t="s">
        <v>1810</v>
      </c>
      <c r="F11" s="154">
        <v>1.27</v>
      </c>
      <c r="G11" s="155">
        <v>1</v>
      </c>
      <c r="H11" s="156">
        <v>6.56</v>
      </c>
      <c r="I11" s="155">
        <v>0</v>
      </c>
      <c r="J11" s="157">
        <f>TRUNC(H11+(H11*$C$22),2)</f>
        <v>16.88</v>
      </c>
      <c r="K11" s="158">
        <f>TRUNC(SUM(F11*J11),3)</f>
        <v>21.437000000000001</v>
      </c>
    </row>
    <row r="12" spans="2:13">
      <c r="B12" s="159"/>
      <c r="C12" s="160"/>
      <c r="D12" s="160"/>
      <c r="E12" s="160"/>
      <c r="F12" s="161"/>
      <c r="G12" s="161"/>
      <c r="H12" s="161"/>
      <c r="I12" s="162"/>
      <c r="J12" s="163" t="s">
        <v>2255</v>
      </c>
      <c r="K12" s="164">
        <f>TRUNC(SUM(K10:K11),2)</f>
        <v>34.4</v>
      </c>
      <c r="M12" s="165"/>
    </row>
    <row r="13" spans="2:13" ht="14.45" customHeight="1">
      <c r="B13" s="394" t="s">
        <v>2272</v>
      </c>
      <c r="C13" s="394"/>
      <c r="D13" s="394"/>
      <c r="E13" s="394"/>
      <c r="F13" s="394"/>
      <c r="G13" s="394"/>
      <c r="H13" s="394"/>
      <c r="I13" s="394"/>
      <c r="J13" s="394"/>
      <c r="K13" s="394"/>
    </row>
    <row r="14" spans="2:13" ht="75">
      <c r="B14" s="153" t="s">
        <v>2338</v>
      </c>
      <c r="C14" s="87" t="s">
        <v>25</v>
      </c>
      <c r="D14" s="87" t="s">
        <v>2339</v>
      </c>
      <c r="E14" s="87" t="s">
        <v>133</v>
      </c>
      <c r="F14" s="154">
        <v>1.1000000000000001</v>
      </c>
      <c r="G14" s="155">
        <v>1</v>
      </c>
      <c r="H14" s="156">
        <v>112.54</v>
      </c>
      <c r="I14" s="155">
        <v>0</v>
      </c>
      <c r="J14" s="157">
        <f>H14</f>
        <v>112.54</v>
      </c>
      <c r="K14" s="158">
        <f>TRUNC(SUM(F14*J14),3)</f>
        <v>123.794</v>
      </c>
    </row>
    <row r="15" spans="2:13" ht="30">
      <c r="B15" s="153" t="s">
        <v>2340</v>
      </c>
      <c r="C15" s="87" t="s">
        <v>25</v>
      </c>
      <c r="D15" s="87" t="s">
        <v>2341</v>
      </c>
      <c r="E15" s="87" t="s">
        <v>1810</v>
      </c>
      <c r="F15" s="154">
        <v>1.1000000000000001</v>
      </c>
      <c r="G15" s="155">
        <v>1</v>
      </c>
      <c r="H15" s="156">
        <v>18.84</v>
      </c>
      <c r="I15" s="155">
        <v>0</v>
      </c>
      <c r="J15" s="157">
        <f>H15</f>
        <v>18.84</v>
      </c>
      <c r="K15" s="158">
        <f>TRUNC(SUM(F15*J15),3)</f>
        <v>20.724</v>
      </c>
    </row>
    <row r="16" spans="2:13" ht="60">
      <c r="B16" s="153" t="s">
        <v>2342</v>
      </c>
      <c r="C16" s="87" t="s">
        <v>48</v>
      </c>
      <c r="D16" s="87" t="s">
        <v>2343</v>
      </c>
      <c r="E16" s="87" t="s">
        <v>133</v>
      </c>
      <c r="F16" s="154">
        <v>5.0761000000000003</v>
      </c>
      <c r="G16" s="155">
        <v>1</v>
      </c>
      <c r="H16" s="156">
        <v>10.62</v>
      </c>
      <c r="I16" s="155">
        <v>0</v>
      </c>
      <c r="J16" s="157">
        <f>H16</f>
        <v>10.62</v>
      </c>
      <c r="K16" s="158">
        <f>TRUNC(SUM(F16*J16),3)</f>
        <v>53.908000000000001</v>
      </c>
    </row>
    <row r="17" spans="2:13" ht="60">
      <c r="B17" s="153" t="s">
        <v>2344</v>
      </c>
      <c r="C17" s="87" t="s">
        <v>38</v>
      </c>
      <c r="D17" s="87" t="s">
        <v>2345</v>
      </c>
      <c r="E17" s="87" t="s">
        <v>1810</v>
      </c>
      <c r="F17" s="154">
        <v>0.15</v>
      </c>
      <c r="G17" s="155">
        <v>1</v>
      </c>
      <c r="H17" s="156">
        <v>821.92</v>
      </c>
      <c r="I17" s="155">
        <v>0</v>
      </c>
      <c r="J17" s="157">
        <f>H17</f>
        <v>821.92</v>
      </c>
      <c r="K17" s="158">
        <f>TRUNC(SUM(F17*J17),3)</f>
        <v>123.288</v>
      </c>
    </row>
    <row r="18" spans="2:13">
      <c r="B18" s="166"/>
      <c r="C18" s="167"/>
      <c r="D18" s="167"/>
      <c r="E18" s="167"/>
      <c r="F18" s="167"/>
      <c r="G18" s="167"/>
      <c r="H18" s="167"/>
      <c r="I18" s="168"/>
      <c r="J18" s="169" t="s">
        <v>2255</v>
      </c>
      <c r="K18" s="170">
        <f>TRUNC(SUM(K14:K17),2)</f>
        <v>321.70999999999998</v>
      </c>
    </row>
    <row r="19" spans="2:13">
      <c r="B19" s="171"/>
      <c r="C19" s="172"/>
      <c r="D19" s="172"/>
      <c r="E19" s="172"/>
      <c r="F19" s="172"/>
      <c r="G19" s="172"/>
      <c r="H19" s="172"/>
      <c r="I19" s="172"/>
      <c r="J19" s="172"/>
      <c r="K19" s="173"/>
    </row>
    <row r="20" spans="2:13">
      <c r="B20" s="175" t="s">
        <v>2310</v>
      </c>
      <c r="C20" s="176"/>
      <c r="D20" s="177"/>
      <c r="E20" s="172"/>
      <c r="F20" s="172"/>
      <c r="G20" s="172"/>
      <c r="H20" s="172"/>
      <c r="I20" s="172"/>
      <c r="J20" s="172"/>
      <c r="K20" s="173"/>
    </row>
    <row r="21" spans="2:13">
      <c r="B21" s="178" t="s">
        <v>2311</v>
      </c>
      <c r="C21" s="179" t="s">
        <v>2312</v>
      </c>
      <c r="D21" s="180" t="s">
        <v>2313</v>
      </c>
      <c r="E21" s="181"/>
      <c r="F21" s="172"/>
      <c r="G21" s="172"/>
      <c r="H21" s="172"/>
      <c r="I21" s="172"/>
      <c r="J21" s="172"/>
      <c r="K21" s="173"/>
    </row>
    <row r="22" spans="2:13">
      <c r="B22" s="182" t="s">
        <v>2314</v>
      </c>
      <c r="C22" s="183">
        <v>1.5737000000000001</v>
      </c>
      <c r="D22" s="184">
        <f>K12</f>
        <v>34.4</v>
      </c>
      <c r="E22" s="185"/>
      <c r="F22" s="172"/>
      <c r="G22" s="172"/>
      <c r="H22" s="172"/>
      <c r="I22" s="172"/>
      <c r="J22" s="172"/>
      <c r="K22" s="173"/>
    </row>
    <row r="23" spans="2:13">
      <c r="B23" s="182" t="s">
        <v>2315</v>
      </c>
      <c r="C23" s="186"/>
      <c r="D23" s="184">
        <f>K18</f>
        <v>321.70999999999998</v>
      </c>
      <c r="E23" s="185"/>
      <c r="F23" s="172"/>
      <c r="G23" s="172"/>
      <c r="H23" s="172"/>
      <c r="I23" s="172"/>
      <c r="J23" s="172"/>
      <c r="K23" s="173"/>
    </row>
    <row r="24" spans="2:13">
      <c r="B24" s="182" t="s">
        <v>2316</v>
      </c>
      <c r="C24" s="186"/>
      <c r="D24" s="184">
        <v>0</v>
      </c>
      <c r="E24" s="185"/>
      <c r="F24" s="172"/>
      <c r="G24" s="172"/>
      <c r="H24" s="172"/>
      <c r="I24" s="172"/>
      <c r="J24" s="172"/>
      <c r="K24" s="173"/>
    </row>
    <row r="25" spans="2:13">
      <c r="B25" s="182" t="s">
        <v>2317</v>
      </c>
      <c r="C25" s="186"/>
      <c r="D25" s="184">
        <v>1</v>
      </c>
      <c r="E25" s="185"/>
      <c r="F25" s="172"/>
      <c r="G25" s="172"/>
      <c r="H25" s="172"/>
      <c r="I25" s="172"/>
      <c r="J25" s="172"/>
      <c r="K25" s="173"/>
    </row>
    <row r="26" spans="2:13">
      <c r="B26" s="182" t="s">
        <v>2318</v>
      </c>
      <c r="C26" s="186"/>
      <c r="D26" s="184">
        <f>D22+D24</f>
        <v>34.4</v>
      </c>
      <c r="E26" s="185"/>
      <c r="F26" s="172"/>
      <c r="G26" s="172"/>
      <c r="H26" s="187"/>
      <c r="I26" s="172"/>
      <c r="J26" s="172"/>
      <c r="K26" s="173"/>
    </row>
    <row r="27" spans="2:13" ht="25.5">
      <c r="B27" s="188" t="s">
        <v>2319</v>
      </c>
      <c r="C27" s="186"/>
      <c r="D27" s="184">
        <f>(D22+D24)/D25</f>
        <v>34.4</v>
      </c>
      <c r="E27" s="185"/>
      <c r="F27" s="172"/>
      <c r="G27" s="172"/>
      <c r="H27" s="172"/>
      <c r="I27" s="172"/>
      <c r="J27" s="172"/>
      <c r="K27" s="173"/>
    </row>
    <row r="28" spans="2:13" ht="14.45" customHeight="1">
      <c r="B28" s="182" t="s">
        <v>2320</v>
      </c>
      <c r="C28" s="186"/>
      <c r="D28" s="184">
        <f>D23+D27</f>
        <v>356.10999999999996</v>
      </c>
      <c r="E28" s="185"/>
      <c r="F28" s="172"/>
      <c r="G28" s="172"/>
      <c r="H28" s="172"/>
      <c r="I28" s="172"/>
      <c r="J28" s="172"/>
      <c r="K28" s="173"/>
    </row>
    <row r="29" spans="2:13">
      <c r="B29" s="189" t="s">
        <v>2321</v>
      </c>
      <c r="C29" s="183">
        <v>0</v>
      </c>
      <c r="D29" s="190">
        <f>(D28)*C29</f>
        <v>0</v>
      </c>
      <c r="E29" s="185"/>
      <c r="F29" s="172"/>
      <c r="G29" s="172"/>
      <c r="H29" s="172"/>
      <c r="I29" s="172"/>
      <c r="J29" s="172"/>
      <c r="K29" s="173"/>
      <c r="M29" s="165"/>
    </row>
    <row r="30" spans="2:13" ht="15">
      <c r="B30" s="191" t="s">
        <v>2322</v>
      </c>
      <c r="C30" s="395">
        <f>D28+D29</f>
        <v>356.10999999999996</v>
      </c>
      <c r="D30" s="395"/>
      <c r="E30" s="192"/>
      <c r="F30" s="193"/>
      <c r="G30" s="193"/>
      <c r="H30" s="193"/>
      <c r="I30" s="193"/>
      <c r="J30" s="193"/>
      <c r="K30" s="194"/>
    </row>
  </sheetData>
  <mergeCells count="17">
    <mergeCell ref="B13:K13"/>
    <mergeCell ref="C30:D30"/>
    <mergeCell ref="H7:H8"/>
    <mergeCell ref="I7:I8"/>
    <mergeCell ref="J7:J8"/>
    <mergeCell ref="K7:K8"/>
    <mergeCell ref="B9:K9"/>
    <mergeCell ref="B7:B8"/>
    <mergeCell ref="C7:C8"/>
    <mergeCell ref="D7:D8"/>
    <mergeCell ref="E7:E8"/>
    <mergeCell ref="F7:G7"/>
    <mergeCell ref="B2:K2"/>
    <mergeCell ref="C3:K3"/>
    <mergeCell ref="C4:K4"/>
    <mergeCell ref="C5:K5"/>
    <mergeCell ref="C6:K6"/>
  </mergeCells>
  <pageMargins left="0.51180555555555596" right="0.51180555555555596" top="0.78749999999999998" bottom="0.78749999999999998" header="0.511811023622047" footer="0.511811023622047"/>
  <pageSetup scale="60"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M27"/>
  <sheetViews>
    <sheetView view="pageBreakPreview" zoomScaleNormal="100" workbookViewId="0">
      <selection activeCell="K10" sqref="K10"/>
    </sheetView>
  </sheetViews>
  <sheetFormatPr defaultColWidth="8.85546875" defaultRowHeight="12.75"/>
  <cols>
    <col min="1" max="1" width="8.85546875" style="148"/>
    <col min="2" max="2" width="30.28515625" style="148" customWidth="1"/>
    <col min="3" max="10" width="12.28515625" style="148" customWidth="1"/>
    <col min="11" max="11" width="13.5703125" style="148" customWidth="1"/>
    <col min="12" max="12" width="8.85546875" style="148"/>
    <col min="13" max="13" width="14.28515625" style="148" customWidth="1"/>
    <col min="14" max="16384" width="8.85546875" style="148"/>
  </cols>
  <sheetData>
    <row r="2" spans="2:13" ht="22.35" customHeight="1">
      <c r="B2" s="389" t="s">
        <v>2245</v>
      </c>
      <c r="C2" s="389"/>
      <c r="D2" s="389"/>
      <c r="E2" s="389"/>
      <c r="F2" s="389"/>
      <c r="G2" s="389"/>
      <c r="H2" s="389"/>
      <c r="I2" s="389"/>
      <c r="J2" s="389"/>
      <c r="K2" s="389"/>
    </row>
    <row r="3" spans="2:13" ht="14.85" customHeight="1">
      <c r="B3" s="149" t="s">
        <v>2246</v>
      </c>
      <c r="C3" s="390" t="s">
        <v>2247</v>
      </c>
      <c r="D3" s="390"/>
      <c r="E3" s="390"/>
      <c r="F3" s="390"/>
      <c r="G3" s="390"/>
      <c r="H3" s="390"/>
      <c r="I3" s="390"/>
      <c r="J3" s="390"/>
      <c r="K3" s="390"/>
    </row>
    <row r="4" spans="2:13" ht="15.75">
      <c r="B4" s="150" t="s">
        <v>8</v>
      </c>
      <c r="C4" s="391">
        <v>4</v>
      </c>
      <c r="D4" s="391"/>
      <c r="E4" s="391"/>
      <c r="F4" s="391"/>
      <c r="G4" s="391"/>
      <c r="H4" s="391"/>
      <c r="I4" s="391"/>
      <c r="J4" s="391"/>
      <c r="K4" s="391"/>
    </row>
    <row r="5" spans="2:13" ht="33.6" customHeight="1">
      <c r="B5" s="150" t="s">
        <v>10</v>
      </c>
      <c r="C5" s="392" t="s">
        <v>2346</v>
      </c>
      <c r="D5" s="392"/>
      <c r="E5" s="392"/>
      <c r="F5" s="392"/>
      <c r="G5" s="392"/>
      <c r="H5" s="392"/>
      <c r="I5" s="392"/>
      <c r="J5" s="392"/>
      <c r="K5" s="392"/>
    </row>
    <row r="6" spans="2:13" ht="14.45" customHeight="1">
      <c r="B6" s="151" t="s">
        <v>2248</v>
      </c>
      <c r="C6" s="393" t="s">
        <v>25</v>
      </c>
      <c r="D6" s="393"/>
      <c r="E6" s="393"/>
      <c r="F6" s="393"/>
      <c r="G6" s="393"/>
      <c r="H6" s="393"/>
      <c r="I6" s="393"/>
      <c r="J6" s="393"/>
      <c r="K6" s="393"/>
    </row>
    <row r="7" spans="2:13" ht="13.15" customHeight="1">
      <c r="B7" s="398" t="s">
        <v>2249</v>
      </c>
      <c r="C7" s="399" t="s">
        <v>2250</v>
      </c>
      <c r="D7" s="399" t="s">
        <v>1955</v>
      </c>
      <c r="E7" s="399" t="s">
        <v>2251</v>
      </c>
      <c r="F7" s="400"/>
      <c r="G7" s="400"/>
      <c r="H7" s="396" t="s">
        <v>2252</v>
      </c>
      <c r="I7" s="396" t="s">
        <v>2253</v>
      </c>
      <c r="J7" s="396" t="s">
        <v>2254</v>
      </c>
      <c r="K7" s="397" t="s">
        <v>2255</v>
      </c>
    </row>
    <row r="8" spans="2:13">
      <c r="B8" s="398"/>
      <c r="C8" s="399"/>
      <c r="D8" s="399"/>
      <c r="E8" s="399"/>
      <c r="F8" s="152" t="s">
        <v>2256</v>
      </c>
      <c r="G8" s="152" t="s">
        <v>2257</v>
      </c>
      <c r="H8" s="396"/>
      <c r="I8" s="396"/>
      <c r="J8" s="396"/>
      <c r="K8" s="397"/>
    </row>
    <row r="9" spans="2:13" ht="14.45" customHeight="1">
      <c r="B9" s="394" t="s">
        <v>2258</v>
      </c>
      <c r="C9" s="394"/>
      <c r="D9" s="394"/>
      <c r="E9" s="394"/>
      <c r="F9" s="394"/>
      <c r="G9" s="394"/>
      <c r="H9" s="394"/>
      <c r="I9" s="394"/>
      <c r="J9" s="394"/>
      <c r="K9" s="394"/>
    </row>
    <row r="10" spans="2:13" ht="30">
      <c r="B10" s="153" t="s">
        <v>2259</v>
      </c>
      <c r="C10" s="87" t="s">
        <v>2260</v>
      </c>
      <c r="D10" s="87" t="s">
        <v>2328</v>
      </c>
      <c r="E10" s="87" t="s">
        <v>1810</v>
      </c>
      <c r="F10" s="154">
        <v>0.1</v>
      </c>
      <c r="G10" s="155">
        <v>1</v>
      </c>
      <c r="H10" s="156">
        <v>7.46</v>
      </c>
      <c r="I10" s="155">
        <v>0</v>
      </c>
      <c r="J10" s="157">
        <f>TRUNC(H10+(H10*$C$19),2)</f>
        <v>19.190000000000001</v>
      </c>
      <c r="K10" s="158">
        <f>TRUNC(SUM(F10*J10),3)</f>
        <v>1.919</v>
      </c>
    </row>
    <row r="11" spans="2:13" ht="30">
      <c r="B11" s="153" t="s">
        <v>2268</v>
      </c>
      <c r="C11" s="87" t="s">
        <v>2260</v>
      </c>
      <c r="D11" s="87" t="s">
        <v>2347</v>
      </c>
      <c r="E11" s="87" t="s">
        <v>1810</v>
      </c>
      <c r="F11" s="154">
        <v>0.15</v>
      </c>
      <c r="G11" s="155">
        <v>1</v>
      </c>
      <c r="H11" s="156">
        <v>8.84</v>
      </c>
      <c r="I11" s="155">
        <v>0</v>
      </c>
      <c r="J11" s="157">
        <f>TRUNC(H11+(H11*$C$19),2)</f>
        <v>22.75</v>
      </c>
      <c r="K11" s="158">
        <f>TRUNC(SUM(F11*J11),3)</f>
        <v>3.4119999999999999</v>
      </c>
    </row>
    <row r="12" spans="2:13">
      <c r="B12" s="159"/>
      <c r="C12" s="160"/>
      <c r="D12" s="160"/>
      <c r="E12" s="160"/>
      <c r="F12" s="161"/>
      <c r="G12" s="161"/>
      <c r="H12" s="161"/>
      <c r="I12" s="162"/>
      <c r="J12" s="163" t="s">
        <v>2255</v>
      </c>
      <c r="K12" s="164">
        <f>TRUNC(SUM(K10:K11),2)</f>
        <v>5.33</v>
      </c>
      <c r="M12" s="165"/>
    </row>
    <row r="13" spans="2:13" ht="14.45" customHeight="1">
      <c r="B13" s="394" t="s">
        <v>2272</v>
      </c>
      <c r="C13" s="394"/>
      <c r="D13" s="394"/>
      <c r="E13" s="394"/>
      <c r="F13" s="394"/>
      <c r="G13" s="394"/>
      <c r="H13" s="394"/>
      <c r="I13" s="394"/>
      <c r="J13" s="394"/>
      <c r="K13" s="394"/>
    </row>
    <row r="14" spans="2:13" ht="30">
      <c r="B14" s="153" t="s">
        <v>2348</v>
      </c>
      <c r="C14" s="87" t="s">
        <v>2296</v>
      </c>
      <c r="D14" s="87" t="s">
        <v>2349</v>
      </c>
      <c r="E14" s="87" t="s">
        <v>1810</v>
      </c>
      <c r="F14" s="154">
        <v>0.28999999999999998</v>
      </c>
      <c r="G14" s="155">
        <v>1</v>
      </c>
      <c r="H14" s="156">
        <v>35.93</v>
      </c>
      <c r="I14" s="155">
        <v>0</v>
      </c>
      <c r="J14" s="157">
        <f>H14</f>
        <v>35.93</v>
      </c>
      <c r="K14" s="158">
        <f>TRUNC(SUM(F14*J14),2)</f>
        <v>10.41</v>
      </c>
    </row>
    <row r="15" spans="2:13">
      <c r="B15" s="166"/>
      <c r="C15" s="167"/>
      <c r="D15" s="167"/>
      <c r="E15" s="167"/>
      <c r="F15" s="167"/>
      <c r="G15" s="167"/>
      <c r="H15" s="167"/>
      <c r="I15" s="168"/>
      <c r="J15" s="169" t="s">
        <v>2255</v>
      </c>
      <c r="K15" s="170">
        <f>TRUNC(SUM(K14:K14),2)</f>
        <v>10.41</v>
      </c>
    </row>
    <row r="16" spans="2:13">
      <c r="B16" s="171"/>
      <c r="C16" s="172"/>
      <c r="D16" s="172"/>
      <c r="E16" s="172"/>
      <c r="F16" s="172"/>
      <c r="G16" s="172"/>
      <c r="H16" s="172"/>
      <c r="I16" s="172"/>
      <c r="J16" s="172"/>
      <c r="K16" s="173"/>
    </row>
    <row r="17" spans="2:13">
      <c r="B17" s="175" t="s">
        <v>2310</v>
      </c>
      <c r="C17" s="176"/>
      <c r="D17" s="177"/>
      <c r="E17" s="172"/>
      <c r="F17" s="172"/>
      <c r="G17" s="172"/>
      <c r="H17" s="172"/>
      <c r="I17" s="172"/>
      <c r="J17" s="172"/>
      <c r="K17" s="173"/>
    </row>
    <row r="18" spans="2:13">
      <c r="B18" s="178" t="s">
        <v>2311</v>
      </c>
      <c r="C18" s="179" t="s">
        <v>2312</v>
      </c>
      <c r="D18" s="180" t="s">
        <v>2313</v>
      </c>
      <c r="E18" s="181"/>
      <c r="F18" s="172"/>
      <c r="G18" s="172"/>
      <c r="H18" s="172"/>
      <c r="I18" s="172"/>
      <c r="J18" s="172"/>
      <c r="K18" s="173"/>
    </row>
    <row r="19" spans="2:13">
      <c r="B19" s="182" t="s">
        <v>2314</v>
      </c>
      <c r="C19" s="183">
        <v>1.5737000000000001</v>
      </c>
      <c r="D19" s="184">
        <f>K12</f>
        <v>5.33</v>
      </c>
      <c r="E19" s="185"/>
      <c r="F19" s="172"/>
      <c r="G19" s="172"/>
      <c r="H19" s="172"/>
      <c r="I19" s="172"/>
      <c r="J19" s="172"/>
      <c r="K19" s="173"/>
    </row>
    <row r="20" spans="2:13">
      <c r="B20" s="182" t="s">
        <v>2315</v>
      </c>
      <c r="C20" s="186"/>
      <c r="D20" s="184">
        <f>K15</f>
        <v>10.41</v>
      </c>
      <c r="E20" s="185"/>
      <c r="F20" s="172"/>
      <c r="G20" s="172"/>
      <c r="H20" s="172"/>
      <c r="I20" s="172"/>
      <c r="J20" s="172"/>
      <c r="K20" s="173"/>
    </row>
    <row r="21" spans="2:13">
      <c r="B21" s="182" t="s">
        <v>2316</v>
      </c>
      <c r="C21" s="186"/>
      <c r="D21" s="184">
        <v>0</v>
      </c>
      <c r="E21" s="185"/>
      <c r="F21" s="172"/>
      <c r="G21" s="172"/>
      <c r="H21" s="172"/>
      <c r="I21" s="172"/>
      <c r="J21" s="172"/>
      <c r="K21" s="173"/>
    </row>
    <row r="22" spans="2:13">
      <c r="B22" s="182" t="s">
        <v>2317</v>
      </c>
      <c r="C22" s="186"/>
      <c r="D22" s="184">
        <v>1</v>
      </c>
      <c r="E22" s="185"/>
      <c r="F22" s="172"/>
      <c r="G22" s="172"/>
      <c r="H22" s="172"/>
      <c r="I22" s="172"/>
      <c r="J22" s="172"/>
      <c r="K22" s="173"/>
    </row>
    <row r="23" spans="2:13">
      <c r="B23" s="182" t="s">
        <v>2318</v>
      </c>
      <c r="C23" s="186"/>
      <c r="D23" s="184">
        <f>D19+D21</f>
        <v>5.33</v>
      </c>
      <c r="E23" s="185"/>
      <c r="F23" s="172"/>
      <c r="G23" s="172"/>
      <c r="H23" s="187"/>
      <c r="I23" s="172"/>
      <c r="J23" s="172"/>
      <c r="K23" s="173"/>
    </row>
    <row r="24" spans="2:13" ht="25.5">
      <c r="B24" s="188" t="s">
        <v>2319</v>
      </c>
      <c r="C24" s="186"/>
      <c r="D24" s="184">
        <f>(D19+D21)/D22</f>
        <v>5.33</v>
      </c>
      <c r="E24" s="185"/>
      <c r="F24" s="172"/>
      <c r="G24" s="172"/>
      <c r="H24" s="172"/>
      <c r="I24" s="172"/>
      <c r="J24" s="172"/>
      <c r="K24" s="173"/>
    </row>
    <row r="25" spans="2:13" ht="14.45" customHeight="1">
      <c r="B25" s="182" t="s">
        <v>2320</v>
      </c>
      <c r="C25" s="186"/>
      <c r="D25" s="184">
        <f>D20+D24</f>
        <v>15.74</v>
      </c>
      <c r="E25" s="185"/>
      <c r="F25" s="172"/>
      <c r="G25" s="172"/>
      <c r="H25" s="172"/>
      <c r="I25" s="172"/>
      <c r="J25" s="172"/>
      <c r="K25" s="173"/>
    </row>
    <row r="26" spans="2:13">
      <c r="B26" s="189" t="s">
        <v>2321</v>
      </c>
      <c r="C26" s="183">
        <v>0</v>
      </c>
      <c r="D26" s="190">
        <f>(D25)*C26</f>
        <v>0</v>
      </c>
      <c r="E26" s="185"/>
      <c r="F26" s="172"/>
      <c r="G26" s="172"/>
      <c r="H26" s="172"/>
      <c r="I26" s="172"/>
      <c r="J26" s="172"/>
      <c r="K26" s="173"/>
      <c r="M26" s="165"/>
    </row>
    <row r="27" spans="2:13" ht="15">
      <c r="B27" s="191" t="s">
        <v>2322</v>
      </c>
      <c r="C27" s="395">
        <f>D25+D26</f>
        <v>15.74</v>
      </c>
      <c r="D27" s="395"/>
      <c r="E27" s="192"/>
      <c r="F27" s="193"/>
      <c r="G27" s="193"/>
      <c r="H27" s="193"/>
      <c r="I27" s="193"/>
      <c r="J27" s="193"/>
      <c r="K27" s="194"/>
    </row>
  </sheetData>
  <mergeCells count="17">
    <mergeCell ref="B13:K13"/>
    <mergeCell ref="C27:D27"/>
    <mergeCell ref="H7:H8"/>
    <mergeCell ref="I7:I8"/>
    <mergeCell ref="J7:J8"/>
    <mergeCell ref="K7:K8"/>
    <mergeCell ref="B9:K9"/>
    <mergeCell ref="B7:B8"/>
    <mergeCell ref="C7:C8"/>
    <mergeCell ref="D7:D8"/>
    <mergeCell ref="E7:E8"/>
    <mergeCell ref="F7:G7"/>
    <mergeCell ref="B2:K2"/>
    <mergeCell ref="C3:K3"/>
    <mergeCell ref="C4:K4"/>
    <mergeCell ref="C5:K5"/>
    <mergeCell ref="C6:K6"/>
  </mergeCells>
  <pageMargins left="0.51180555555555596" right="0.51180555555555596" top="0.78749999999999998" bottom="0.78749999999999998" header="0.511811023622047" footer="0.511811023622047"/>
  <pageSetup scale="60"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M28"/>
  <sheetViews>
    <sheetView view="pageBreakPreview" zoomScaleNormal="100" workbookViewId="0">
      <selection activeCell="K10" sqref="K10"/>
    </sheetView>
  </sheetViews>
  <sheetFormatPr defaultColWidth="8.85546875" defaultRowHeight="12.75"/>
  <cols>
    <col min="1" max="1" width="8.85546875" style="148"/>
    <col min="2" max="2" width="30.28515625" style="148" customWidth="1"/>
    <col min="3" max="10" width="12.28515625" style="148" customWidth="1"/>
    <col min="11" max="11" width="13.5703125" style="148" customWidth="1"/>
    <col min="12" max="12" width="8.85546875" style="148"/>
    <col min="13" max="13" width="14.28515625" style="148" customWidth="1"/>
    <col min="14" max="16384" width="8.85546875" style="148"/>
  </cols>
  <sheetData>
    <row r="2" spans="2:13" ht="22.35" customHeight="1">
      <c r="B2" s="389" t="s">
        <v>2245</v>
      </c>
      <c r="C2" s="389"/>
      <c r="D2" s="389"/>
      <c r="E2" s="389"/>
      <c r="F2" s="389"/>
      <c r="G2" s="389"/>
      <c r="H2" s="389"/>
      <c r="I2" s="389"/>
      <c r="J2" s="389"/>
      <c r="K2" s="389"/>
    </row>
    <row r="3" spans="2:13" ht="14.85" customHeight="1">
      <c r="B3" s="149" t="s">
        <v>2246</v>
      </c>
      <c r="C3" s="390" t="s">
        <v>2247</v>
      </c>
      <c r="D3" s="390"/>
      <c r="E3" s="390"/>
      <c r="F3" s="390"/>
      <c r="G3" s="390"/>
      <c r="H3" s="390"/>
      <c r="I3" s="390"/>
      <c r="J3" s="390"/>
      <c r="K3" s="390"/>
    </row>
    <row r="4" spans="2:13" ht="15.75">
      <c r="B4" s="150" t="s">
        <v>8</v>
      </c>
      <c r="C4" s="391">
        <v>5</v>
      </c>
      <c r="D4" s="391"/>
      <c r="E4" s="391"/>
      <c r="F4" s="391"/>
      <c r="G4" s="391"/>
      <c r="H4" s="391"/>
      <c r="I4" s="391"/>
      <c r="J4" s="391"/>
      <c r="K4" s="391"/>
    </row>
    <row r="5" spans="2:13" ht="33.6" customHeight="1">
      <c r="B5" s="150" t="s">
        <v>10</v>
      </c>
      <c r="C5" s="392" t="s">
        <v>1814</v>
      </c>
      <c r="D5" s="392"/>
      <c r="E5" s="392"/>
      <c r="F5" s="392"/>
      <c r="G5" s="392"/>
      <c r="H5" s="392"/>
      <c r="I5" s="392"/>
      <c r="J5" s="392"/>
      <c r="K5" s="392"/>
    </row>
    <row r="6" spans="2:13" ht="14.45" customHeight="1">
      <c r="B6" s="151" t="s">
        <v>2248</v>
      </c>
      <c r="C6" s="393" t="s">
        <v>107</v>
      </c>
      <c r="D6" s="393"/>
      <c r="E6" s="393"/>
      <c r="F6" s="393"/>
      <c r="G6" s="393"/>
      <c r="H6" s="393"/>
      <c r="I6" s="393"/>
      <c r="J6" s="393"/>
      <c r="K6" s="393"/>
    </row>
    <row r="7" spans="2:13" ht="13.15" customHeight="1">
      <c r="B7" s="398" t="s">
        <v>2249</v>
      </c>
      <c r="C7" s="399" t="s">
        <v>2250</v>
      </c>
      <c r="D7" s="399" t="s">
        <v>1955</v>
      </c>
      <c r="E7" s="399" t="s">
        <v>2251</v>
      </c>
      <c r="F7" s="400"/>
      <c r="G7" s="400"/>
      <c r="H7" s="396" t="s">
        <v>2252</v>
      </c>
      <c r="I7" s="396" t="s">
        <v>2253</v>
      </c>
      <c r="J7" s="396" t="s">
        <v>2254</v>
      </c>
      <c r="K7" s="397" t="s">
        <v>2255</v>
      </c>
    </row>
    <row r="8" spans="2:13">
      <c r="B8" s="398"/>
      <c r="C8" s="399"/>
      <c r="D8" s="399"/>
      <c r="E8" s="399"/>
      <c r="F8" s="152" t="s">
        <v>2256</v>
      </c>
      <c r="G8" s="152" t="s">
        <v>2257</v>
      </c>
      <c r="H8" s="396"/>
      <c r="I8" s="396"/>
      <c r="J8" s="396"/>
      <c r="K8" s="397"/>
    </row>
    <row r="9" spans="2:13" ht="14.45" customHeight="1">
      <c r="B9" s="394" t="s">
        <v>2258</v>
      </c>
      <c r="C9" s="394"/>
      <c r="D9" s="394"/>
      <c r="E9" s="394"/>
      <c r="F9" s="394"/>
      <c r="G9" s="394"/>
      <c r="H9" s="394"/>
      <c r="I9" s="394"/>
      <c r="J9" s="394"/>
      <c r="K9" s="394"/>
    </row>
    <row r="10" spans="2:13" ht="30">
      <c r="B10" s="153" t="s">
        <v>2350</v>
      </c>
      <c r="C10" s="87" t="s">
        <v>2260</v>
      </c>
      <c r="D10" s="87" t="s">
        <v>2337</v>
      </c>
      <c r="E10" s="87" t="s">
        <v>1810</v>
      </c>
      <c r="F10" s="154">
        <v>0.14099999999999999</v>
      </c>
      <c r="G10" s="155">
        <v>1</v>
      </c>
      <c r="H10" s="156">
        <v>6.56</v>
      </c>
      <c r="I10" s="155">
        <v>0</v>
      </c>
      <c r="J10" s="157">
        <f>TRUNC(H10+(H10*$C$20),2)</f>
        <v>16.88</v>
      </c>
      <c r="K10" s="158">
        <f>TRUNC(SUM(F10*J10),3)</f>
        <v>2.38</v>
      </c>
    </row>
    <row r="11" spans="2:13" ht="30">
      <c r="B11" s="153" t="s">
        <v>2351</v>
      </c>
      <c r="C11" s="87" t="s">
        <v>2260</v>
      </c>
      <c r="D11" s="87" t="s">
        <v>2352</v>
      </c>
      <c r="E11" s="87" t="s">
        <v>1810</v>
      </c>
      <c r="F11" s="154">
        <v>0.14099999999999999</v>
      </c>
      <c r="G11" s="155">
        <v>1</v>
      </c>
      <c r="H11" s="156">
        <v>8.84</v>
      </c>
      <c r="I11" s="155">
        <v>0</v>
      </c>
      <c r="J11" s="157">
        <f>TRUNC(H11+(H11*$C$20),2)</f>
        <v>22.75</v>
      </c>
      <c r="K11" s="158">
        <f>TRUNC(SUM(F11*J11),3)</f>
        <v>3.2069999999999999</v>
      </c>
    </row>
    <row r="12" spans="2:13">
      <c r="B12" s="159"/>
      <c r="C12" s="160"/>
      <c r="D12" s="160"/>
      <c r="E12" s="160"/>
      <c r="F12" s="161"/>
      <c r="G12" s="161"/>
      <c r="H12" s="161"/>
      <c r="I12" s="162"/>
      <c r="J12" s="163" t="s">
        <v>2255</v>
      </c>
      <c r="K12" s="164">
        <f>TRUNC(SUM(K10:K11),2)</f>
        <v>5.58</v>
      </c>
      <c r="M12" s="165"/>
    </row>
    <row r="13" spans="2:13" ht="14.45" customHeight="1">
      <c r="B13" s="394" t="s">
        <v>2272</v>
      </c>
      <c r="C13" s="394"/>
      <c r="D13" s="394"/>
      <c r="E13" s="394"/>
      <c r="F13" s="394"/>
      <c r="G13" s="394"/>
      <c r="H13" s="394"/>
      <c r="I13" s="394"/>
      <c r="J13" s="394"/>
      <c r="K13" s="394"/>
    </row>
    <row r="14" spans="2:13" ht="45">
      <c r="B14" s="153" t="s">
        <v>2353</v>
      </c>
      <c r="C14" s="87" t="s">
        <v>193</v>
      </c>
      <c r="D14" s="87" t="s">
        <v>2354</v>
      </c>
      <c r="E14" s="87" t="s">
        <v>133</v>
      </c>
      <c r="F14" s="154">
        <v>1.1000000000000001</v>
      </c>
      <c r="G14" s="155">
        <v>1</v>
      </c>
      <c r="H14" s="156">
        <v>227.08</v>
      </c>
      <c r="I14" s="155">
        <v>0</v>
      </c>
      <c r="J14" s="157">
        <f>H14</f>
        <v>227.08</v>
      </c>
      <c r="K14" s="158">
        <f>TRUNC(SUM(F14*J14),2)</f>
        <v>249.78</v>
      </c>
    </row>
    <row r="15" spans="2:13" ht="75">
      <c r="B15" s="153" t="s">
        <v>2355</v>
      </c>
      <c r="C15" s="87" t="s">
        <v>2250</v>
      </c>
      <c r="D15" s="87" t="s">
        <v>2356</v>
      </c>
      <c r="E15" s="87" t="s">
        <v>133</v>
      </c>
      <c r="F15" s="154">
        <v>2.0799999999999999E-2</v>
      </c>
      <c r="G15" s="155">
        <v>1</v>
      </c>
      <c r="H15" s="156">
        <v>26.93</v>
      </c>
      <c r="I15" s="155">
        <v>0</v>
      </c>
      <c r="J15" s="157">
        <f>H15</f>
        <v>26.93</v>
      </c>
      <c r="K15" s="158">
        <f>TRUNC(SUM(F15*J15),2)</f>
        <v>0.56000000000000005</v>
      </c>
    </row>
    <row r="16" spans="2:13">
      <c r="B16" s="166"/>
      <c r="C16" s="167"/>
      <c r="D16" s="167"/>
      <c r="E16" s="167"/>
      <c r="F16" s="167"/>
      <c r="G16" s="167"/>
      <c r="H16" s="167"/>
      <c r="I16" s="168"/>
      <c r="J16" s="169" t="s">
        <v>2255</v>
      </c>
      <c r="K16" s="170">
        <f>TRUNC(SUM(K14:K15),2)</f>
        <v>250.34</v>
      </c>
    </row>
    <row r="17" spans="2:13">
      <c r="B17" s="171"/>
      <c r="C17" s="172"/>
      <c r="D17" s="172"/>
      <c r="E17" s="172"/>
      <c r="F17" s="172"/>
      <c r="G17" s="172"/>
      <c r="H17" s="172"/>
      <c r="I17" s="172"/>
      <c r="J17" s="172"/>
      <c r="K17" s="173"/>
    </row>
    <row r="18" spans="2:13">
      <c r="B18" s="175" t="s">
        <v>2310</v>
      </c>
      <c r="C18" s="176"/>
      <c r="D18" s="177"/>
      <c r="E18" s="172"/>
      <c r="F18" s="172"/>
      <c r="G18" s="172"/>
      <c r="H18" s="172"/>
      <c r="I18" s="172"/>
      <c r="J18" s="172"/>
      <c r="K18" s="173"/>
    </row>
    <row r="19" spans="2:13">
      <c r="B19" s="178" t="s">
        <v>2311</v>
      </c>
      <c r="C19" s="179" t="s">
        <v>2312</v>
      </c>
      <c r="D19" s="180" t="s">
        <v>2313</v>
      </c>
      <c r="E19" s="181"/>
      <c r="F19" s="172"/>
      <c r="G19" s="172"/>
      <c r="H19" s="172"/>
      <c r="I19" s="172"/>
      <c r="J19" s="172"/>
      <c r="K19" s="173"/>
    </row>
    <row r="20" spans="2:13">
      <c r="B20" s="182" t="s">
        <v>2314</v>
      </c>
      <c r="C20" s="183">
        <v>1.5737000000000001</v>
      </c>
      <c r="D20" s="184">
        <f>K12</f>
        <v>5.58</v>
      </c>
      <c r="E20" s="185"/>
      <c r="F20" s="172"/>
      <c r="G20" s="172"/>
      <c r="H20" s="172"/>
      <c r="I20" s="172"/>
      <c r="J20" s="172"/>
      <c r="K20" s="173"/>
    </row>
    <row r="21" spans="2:13">
      <c r="B21" s="182" t="s">
        <v>2315</v>
      </c>
      <c r="C21" s="186"/>
      <c r="D21" s="184">
        <f>K16</f>
        <v>250.34</v>
      </c>
      <c r="E21" s="185"/>
      <c r="F21" s="172"/>
      <c r="G21" s="172"/>
      <c r="H21" s="172"/>
      <c r="I21" s="172"/>
      <c r="J21" s="172"/>
      <c r="K21" s="173"/>
    </row>
    <row r="22" spans="2:13">
      <c r="B22" s="182" t="s">
        <v>2316</v>
      </c>
      <c r="C22" s="186"/>
      <c r="D22" s="184">
        <v>0</v>
      </c>
      <c r="E22" s="185"/>
      <c r="F22" s="172"/>
      <c r="G22" s="172"/>
      <c r="H22" s="172"/>
      <c r="I22" s="172"/>
      <c r="J22" s="172"/>
      <c r="K22" s="173"/>
    </row>
    <row r="23" spans="2:13">
      <c r="B23" s="182" t="s">
        <v>2317</v>
      </c>
      <c r="C23" s="186"/>
      <c r="D23" s="184">
        <v>1</v>
      </c>
      <c r="E23" s="185"/>
      <c r="F23" s="172"/>
      <c r="G23" s="172"/>
      <c r="H23" s="172"/>
      <c r="I23" s="172"/>
      <c r="J23" s="172"/>
      <c r="K23" s="173"/>
    </row>
    <row r="24" spans="2:13">
      <c r="B24" s="182" t="s">
        <v>2318</v>
      </c>
      <c r="C24" s="186"/>
      <c r="D24" s="184">
        <f>D20+D22</f>
        <v>5.58</v>
      </c>
      <c r="E24" s="185"/>
      <c r="F24" s="172"/>
      <c r="G24" s="172"/>
      <c r="H24" s="187"/>
      <c r="I24" s="172"/>
      <c r="J24" s="172"/>
      <c r="K24" s="173"/>
    </row>
    <row r="25" spans="2:13" ht="25.5">
      <c r="B25" s="188" t="s">
        <v>2319</v>
      </c>
      <c r="C25" s="186"/>
      <c r="D25" s="184">
        <f>(D20+D22)/D23</f>
        <v>5.58</v>
      </c>
      <c r="E25" s="185"/>
      <c r="F25" s="172"/>
      <c r="G25" s="172"/>
      <c r="H25" s="172"/>
      <c r="I25" s="172"/>
      <c r="J25" s="172"/>
      <c r="K25" s="173"/>
    </row>
    <row r="26" spans="2:13" ht="14.45" customHeight="1">
      <c r="B26" s="182" t="s">
        <v>2320</v>
      </c>
      <c r="C26" s="186"/>
      <c r="D26" s="184">
        <f>D21+D25</f>
        <v>255.92000000000002</v>
      </c>
      <c r="E26" s="185"/>
      <c r="F26" s="172"/>
      <c r="G26" s="172"/>
      <c r="H26" s="172"/>
      <c r="I26" s="172"/>
      <c r="J26" s="172"/>
      <c r="K26" s="173"/>
    </row>
    <row r="27" spans="2:13">
      <c r="B27" s="189" t="s">
        <v>2321</v>
      </c>
      <c r="C27" s="183">
        <v>0</v>
      </c>
      <c r="D27" s="190">
        <f>(D26)*C27</f>
        <v>0</v>
      </c>
      <c r="E27" s="185"/>
      <c r="F27" s="172"/>
      <c r="G27" s="172"/>
      <c r="H27" s="172"/>
      <c r="I27" s="172"/>
      <c r="J27" s="172"/>
      <c r="K27" s="173"/>
      <c r="M27" s="165"/>
    </row>
    <row r="28" spans="2:13" ht="15">
      <c r="B28" s="191" t="s">
        <v>2322</v>
      </c>
      <c r="C28" s="395">
        <f>D26+D27</f>
        <v>255.92000000000002</v>
      </c>
      <c r="D28" s="395"/>
      <c r="E28" s="192"/>
      <c r="F28" s="193"/>
      <c r="G28" s="193"/>
      <c r="H28" s="193"/>
      <c r="I28" s="193"/>
      <c r="J28" s="193"/>
      <c r="K28" s="194"/>
    </row>
  </sheetData>
  <mergeCells count="17">
    <mergeCell ref="B13:K13"/>
    <mergeCell ref="C28:D28"/>
    <mergeCell ref="H7:H8"/>
    <mergeCell ref="I7:I8"/>
    <mergeCell ref="J7:J8"/>
    <mergeCell ref="K7:K8"/>
    <mergeCell ref="B9:K9"/>
    <mergeCell ref="B7:B8"/>
    <mergeCell ref="C7:C8"/>
    <mergeCell ref="D7:D8"/>
    <mergeCell ref="E7:E8"/>
    <mergeCell ref="F7:G7"/>
    <mergeCell ref="B2:K2"/>
    <mergeCell ref="C3:K3"/>
    <mergeCell ref="C4:K4"/>
    <mergeCell ref="C5:K5"/>
    <mergeCell ref="C6:K6"/>
  </mergeCells>
  <pageMargins left="0.51180555555555596" right="0.51180555555555596" top="0.78749999999999998" bottom="0.78749999999999998" header="0.511811023622047" footer="0.511811023622047"/>
  <pageSetup scale="60"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M31"/>
  <sheetViews>
    <sheetView view="pageBreakPreview" zoomScaleNormal="100" workbookViewId="0">
      <selection activeCell="K10" sqref="K10"/>
    </sheetView>
  </sheetViews>
  <sheetFormatPr defaultColWidth="8.85546875" defaultRowHeight="12.75"/>
  <cols>
    <col min="1" max="1" width="8.85546875" style="148"/>
    <col min="2" max="2" width="30.28515625" style="148" customWidth="1"/>
    <col min="3" max="10" width="12.28515625" style="148" customWidth="1"/>
    <col min="11" max="11" width="13.5703125" style="148" customWidth="1"/>
    <col min="12" max="12" width="8.85546875" style="148"/>
    <col min="13" max="13" width="14.28515625" style="148" customWidth="1"/>
    <col min="14" max="16384" width="8.85546875" style="148"/>
  </cols>
  <sheetData>
    <row r="2" spans="2:13" ht="22.35" customHeight="1">
      <c r="B2" s="389" t="s">
        <v>2245</v>
      </c>
      <c r="C2" s="389"/>
      <c r="D2" s="389"/>
      <c r="E2" s="389"/>
      <c r="F2" s="389"/>
      <c r="G2" s="389"/>
      <c r="H2" s="389"/>
      <c r="I2" s="389"/>
      <c r="J2" s="389"/>
      <c r="K2" s="389"/>
    </row>
    <row r="3" spans="2:13" ht="14.85" customHeight="1">
      <c r="B3" s="149" t="s">
        <v>2246</v>
      </c>
      <c r="C3" s="390" t="s">
        <v>2247</v>
      </c>
      <c r="D3" s="390"/>
      <c r="E3" s="390"/>
      <c r="F3" s="390"/>
      <c r="G3" s="390"/>
      <c r="H3" s="390"/>
      <c r="I3" s="390"/>
      <c r="J3" s="390"/>
      <c r="K3" s="390"/>
    </row>
    <row r="4" spans="2:13" ht="15.75">
      <c r="B4" s="150" t="s">
        <v>8</v>
      </c>
      <c r="C4" s="391">
        <v>6</v>
      </c>
      <c r="D4" s="391"/>
      <c r="E4" s="391"/>
      <c r="F4" s="391"/>
      <c r="G4" s="391"/>
      <c r="H4" s="391"/>
      <c r="I4" s="391"/>
      <c r="J4" s="391"/>
      <c r="K4" s="391"/>
    </row>
    <row r="5" spans="2:13" ht="33.6" customHeight="1">
      <c r="B5" s="150" t="s">
        <v>10</v>
      </c>
      <c r="C5" s="392" t="s">
        <v>1839</v>
      </c>
      <c r="D5" s="392"/>
      <c r="E5" s="392"/>
      <c r="F5" s="392"/>
      <c r="G5" s="392"/>
      <c r="H5" s="392"/>
      <c r="I5" s="392"/>
      <c r="J5" s="392"/>
      <c r="K5" s="392"/>
    </row>
    <row r="6" spans="2:13" ht="14.45" customHeight="1">
      <c r="B6" s="151" t="s">
        <v>2248</v>
      </c>
      <c r="C6" s="393" t="s">
        <v>48</v>
      </c>
      <c r="D6" s="393"/>
      <c r="E6" s="393"/>
      <c r="F6" s="393"/>
      <c r="G6" s="393"/>
      <c r="H6" s="393"/>
      <c r="I6" s="393"/>
      <c r="J6" s="393"/>
      <c r="K6" s="393"/>
    </row>
    <row r="7" spans="2:13" ht="13.15" customHeight="1">
      <c r="B7" s="398" t="s">
        <v>2249</v>
      </c>
      <c r="C7" s="399" t="s">
        <v>2250</v>
      </c>
      <c r="D7" s="399" t="s">
        <v>1955</v>
      </c>
      <c r="E7" s="399" t="s">
        <v>2251</v>
      </c>
      <c r="F7" s="400"/>
      <c r="G7" s="400"/>
      <c r="H7" s="396" t="s">
        <v>2252</v>
      </c>
      <c r="I7" s="396" t="s">
        <v>2253</v>
      </c>
      <c r="J7" s="396" t="s">
        <v>2254</v>
      </c>
      <c r="K7" s="397" t="s">
        <v>2255</v>
      </c>
    </row>
    <row r="8" spans="2:13" ht="18.600000000000001" customHeight="1">
      <c r="B8" s="398"/>
      <c r="C8" s="399"/>
      <c r="D8" s="399"/>
      <c r="E8" s="399"/>
      <c r="F8" s="152" t="s">
        <v>2256</v>
      </c>
      <c r="G8" s="152" t="s">
        <v>2257</v>
      </c>
      <c r="H8" s="396"/>
      <c r="I8" s="396"/>
      <c r="J8" s="396"/>
      <c r="K8" s="397"/>
    </row>
    <row r="9" spans="2:13" ht="14.45" customHeight="1">
      <c r="B9" s="394" t="s">
        <v>2258</v>
      </c>
      <c r="C9" s="394"/>
      <c r="D9" s="394"/>
      <c r="E9" s="394"/>
      <c r="F9" s="394"/>
      <c r="G9" s="394"/>
      <c r="H9" s="394"/>
      <c r="I9" s="394"/>
      <c r="J9" s="394"/>
      <c r="K9" s="394"/>
    </row>
    <row r="10" spans="2:13" ht="30">
      <c r="B10" s="153" t="s">
        <v>2259</v>
      </c>
      <c r="C10" s="87" t="s">
        <v>2260</v>
      </c>
      <c r="D10" s="87" t="s">
        <v>2357</v>
      </c>
      <c r="E10" s="87" t="s">
        <v>1810</v>
      </c>
      <c r="F10" s="154">
        <v>20</v>
      </c>
      <c r="G10" s="155">
        <v>1</v>
      </c>
      <c r="H10" s="156">
        <v>7.46</v>
      </c>
      <c r="I10" s="155">
        <v>0</v>
      </c>
      <c r="J10" s="157">
        <f>TRUNC(H10+(H10*$C$23),2)</f>
        <v>19.190000000000001</v>
      </c>
      <c r="K10" s="158">
        <f>TRUNC(SUM(F10*J10),3)</f>
        <v>383.8</v>
      </c>
    </row>
    <row r="11" spans="2:13" ht="30">
      <c r="B11" s="153" t="s">
        <v>2358</v>
      </c>
      <c r="C11" s="87" t="s">
        <v>2260</v>
      </c>
      <c r="D11" s="87" t="s">
        <v>2359</v>
      </c>
      <c r="E11" s="87" t="s">
        <v>1810</v>
      </c>
      <c r="F11" s="154">
        <v>20</v>
      </c>
      <c r="G11" s="155">
        <v>1</v>
      </c>
      <c r="H11" s="156">
        <v>8.84</v>
      </c>
      <c r="I11" s="155">
        <v>0</v>
      </c>
      <c r="J11" s="157">
        <f>TRUNC(H11+(H11*$C$23),2)</f>
        <v>22.75</v>
      </c>
      <c r="K11" s="158">
        <f>TRUNC(SUM(F11*J11),3)</f>
        <v>455</v>
      </c>
    </row>
    <row r="12" spans="2:13" ht="30">
      <c r="B12" s="153" t="s">
        <v>2360</v>
      </c>
      <c r="C12" s="87" t="s">
        <v>2260</v>
      </c>
      <c r="D12" s="87" t="s">
        <v>2361</v>
      </c>
      <c r="E12" s="87" t="s">
        <v>1810</v>
      </c>
      <c r="F12" s="154">
        <v>8</v>
      </c>
      <c r="G12" s="155">
        <v>1</v>
      </c>
      <c r="H12" s="156">
        <v>8.84</v>
      </c>
      <c r="I12" s="155">
        <v>0</v>
      </c>
      <c r="J12" s="157">
        <f>TRUNC(H12+(H12*$C$23),2)</f>
        <v>22.75</v>
      </c>
      <c r="K12" s="158">
        <f>TRUNC(SUM(F12*J12),3)</f>
        <v>182</v>
      </c>
    </row>
    <row r="13" spans="2:13">
      <c r="B13" s="159"/>
      <c r="C13" s="160"/>
      <c r="D13" s="160"/>
      <c r="E13" s="160"/>
      <c r="F13" s="161"/>
      <c r="G13" s="161"/>
      <c r="H13" s="161"/>
      <c r="I13" s="162"/>
      <c r="J13" s="163" t="s">
        <v>2255</v>
      </c>
      <c r="K13" s="164">
        <f>TRUNC(SUM(K10:K12),2)</f>
        <v>1020.8</v>
      </c>
      <c r="M13" s="165"/>
    </row>
    <row r="14" spans="2:13" ht="14.45" customHeight="1">
      <c r="B14" s="394" t="s">
        <v>2272</v>
      </c>
      <c r="C14" s="394"/>
      <c r="D14" s="394"/>
      <c r="E14" s="394"/>
      <c r="F14" s="394"/>
      <c r="G14" s="394"/>
      <c r="H14" s="394"/>
      <c r="I14" s="394"/>
      <c r="J14" s="394"/>
      <c r="K14" s="394"/>
    </row>
    <row r="15" spans="2:13" ht="30">
      <c r="B15" s="153" t="s">
        <v>2362</v>
      </c>
      <c r="C15" s="87" t="s">
        <v>2250</v>
      </c>
      <c r="D15" s="87" t="s">
        <v>2363</v>
      </c>
      <c r="E15" s="87" t="s">
        <v>200</v>
      </c>
      <c r="F15" s="154">
        <v>2</v>
      </c>
      <c r="G15" s="155">
        <v>1</v>
      </c>
      <c r="H15" s="156">
        <v>5489.83</v>
      </c>
      <c r="I15" s="155">
        <v>0</v>
      </c>
      <c r="J15" s="157">
        <f>H15</f>
        <v>5489.83</v>
      </c>
      <c r="K15" s="158">
        <f>TRUNC(SUM(F15*J15),2)</f>
        <v>10979.66</v>
      </c>
    </row>
    <row r="16" spans="2:13" ht="45">
      <c r="B16" s="153" t="s">
        <v>2364</v>
      </c>
      <c r="C16" s="87" t="s">
        <v>2250</v>
      </c>
      <c r="D16" s="87">
        <v>7350</v>
      </c>
      <c r="E16" s="87" t="s">
        <v>6</v>
      </c>
      <c r="F16" s="154">
        <v>48</v>
      </c>
      <c r="G16" s="155">
        <v>1</v>
      </c>
      <c r="H16" s="156">
        <v>309.89999999999998</v>
      </c>
      <c r="I16" s="155">
        <v>0</v>
      </c>
      <c r="J16" s="157">
        <f>H16</f>
        <v>309.89999999999998</v>
      </c>
      <c r="K16" s="158">
        <f>TRUNC(SUM(F16*J16),2)</f>
        <v>14875.2</v>
      </c>
    </row>
    <row r="17" spans="2:13" ht="45">
      <c r="B17" s="153" t="s">
        <v>2365</v>
      </c>
      <c r="C17" s="87" t="s">
        <v>2250</v>
      </c>
      <c r="D17" s="87">
        <v>8340</v>
      </c>
      <c r="E17" s="87" t="s">
        <v>6</v>
      </c>
      <c r="F17" s="154">
        <v>16</v>
      </c>
      <c r="G17" s="155">
        <v>1</v>
      </c>
      <c r="H17" s="156">
        <v>303.64</v>
      </c>
      <c r="I17" s="155">
        <v>0</v>
      </c>
      <c r="J17" s="157">
        <f>H17</f>
        <v>303.64</v>
      </c>
      <c r="K17" s="158">
        <f>TRUNC(SUM(F17*J17),2)</f>
        <v>4858.24</v>
      </c>
    </row>
    <row r="18" spans="2:13" ht="135">
      <c r="B18" s="153" t="s">
        <v>2366</v>
      </c>
      <c r="C18" s="87" t="s">
        <v>2250</v>
      </c>
      <c r="D18" s="87" t="s">
        <v>2367</v>
      </c>
      <c r="E18" s="87" t="s">
        <v>1810</v>
      </c>
      <c r="F18" s="154">
        <v>1</v>
      </c>
      <c r="G18" s="155">
        <v>1</v>
      </c>
      <c r="H18" s="156">
        <v>2459.41</v>
      </c>
      <c r="I18" s="155">
        <v>0</v>
      </c>
      <c r="J18" s="157">
        <f>H18</f>
        <v>2459.41</v>
      </c>
      <c r="K18" s="158">
        <f>TRUNC(SUM(F18*J18),2)</f>
        <v>2459.41</v>
      </c>
    </row>
    <row r="19" spans="2:13">
      <c r="B19" s="166"/>
      <c r="C19" s="167"/>
      <c r="D19" s="167"/>
      <c r="E19" s="167"/>
      <c r="F19" s="167"/>
      <c r="G19" s="167"/>
      <c r="H19" s="167"/>
      <c r="I19" s="168"/>
      <c r="J19" s="169" t="s">
        <v>2255</v>
      </c>
      <c r="K19" s="170">
        <f>TRUNC(SUM(K15:K18),2)</f>
        <v>33172.51</v>
      </c>
    </row>
    <row r="20" spans="2:13">
      <c r="B20" s="171"/>
      <c r="C20" s="172"/>
      <c r="D20" s="172"/>
      <c r="E20" s="172"/>
      <c r="F20" s="172"/>
      <c r="G20" s="172"/>
      <c r="H20" s="172"/>
      <c r="I20" s="172"/>
      <c r="J20" s="172"/>
      <c r="K20" s="173"/>
    </row>
    <row r="21" spans="2:13">
      <c r="B21" s="175" t="s">
        <v>2310</v>
      </c>
      <c r="C21" s="176"/>
      <c r="D21" s="177"/>
      <c r="E21" s="172"/>
      <c r="F21" s="172"/>
      <c r="G21" s="172"/>
      <c r="H21" s="172"/>
      <c r="I21" s="172"/>
      <c r="J21" s="172"/>
      <c r="K21" s="173"/>
    </row>
    <row r="22" spans="2:13">
      <c r="B22" s="178" t="s">
        <v>2311</v>
      </c>
      <c r="C22" s="179" t="s">
        <v>2312</v>
      </c>
      <c r="D22" s="180" t="s">
        <v>2313</v>
      </c>
      <c r="E22" s="181"/>
      <c r="F22" s="172"/>
      <c r="G22" s="172"/>
      <c r="H22" s="172"/>
      <c r="I22" s="172"/>
      <c r="J22" s="172"/>
      <c r="K22" s="173"/>
    </row>
    <row r="23" spans="2:13">
      <c r="B23" s="182" t="s">
        <v>2314</v>
      </c>
      <c r="C23" s="183">
        <v>1.5737000000000001</v>
      </c>
      <c r="D23" s="184">
        <f>K13</f>
        <v>1020.8</v>
      </c>
      <c r="E23" s="185"/>
      <c r="F23" s="172"/>
      <c r="G23" s="172"/>
      <c r="H23" s="172"/>
      <c r="I23" s="172"/>
      <c r="J23" s="172"/>
      <c r="K23" s="173"/>
    </row>
    <row r="24" spans="2:13">
      <c r="B24" s="182" t="s">
        <v>2315</v>
      </c>
      <c r="C24" s="186"/>
      <c r="D24" s="184">
        <f>K19</f>
        <v>33172.51</v>
      </c>
      <c r="E24" s="185"/>
      <c r="F24" s="172"/>
      <c r="G24" s="172"/>
      <c r="H24" s="172"/>
      <c r="I24" s="172"/>
      <c r="J24" s="172"/>
      <c r="K24" s="173"/>
    </row>
    <row r="25" spans="2:13">
      <c r="B25" s="182" t="s">
        <v>2316</v>
      </c>
      <c r="C25" s="186"/>
      <c r="D25" s="184">
        <v>0</v>
      </c>
      <c r="E25" s="185"/>
      <c r="F25" s="172"/>
      <c r="G25" s="172"/>
      <c r="H25" s="172"/>
      <c r="I25" s="172"/>
      <c r="J25" s="172"/>
      <c r="K25" s="173"/>
    </row>
    <row r="26" spans="2:13">
      <c r="B26" s="182" t="s">
        <v>2317</v>
      </c>
      <c r="C26" s="186"/>
      <c r="D26" s="184">
        <v>1</v>
      </c>
      <c r="E26" s="185"/>
      <c r="F26" s="172"/>
      <c r="G26" s="172"/>
      <c r="H26" s="172"/>
      <c r="I26" s="172"/>
      <c r="J26" s="172"/>
      <c r="K26" s="173"/>
    </row>
    <row r="27" spans="2:13">
      <c r="B27" s="182" t="s">
        <v>2318</v>
      </c>
      <c r="C27" s="186"/>
      <c r="D27" s="184">
        <f>D23+D25</f>
        <v>1020.8</v>
      </c>
      <c r="E27" s="185"/>
      <c r="F27" s="172"/>
      <c r="G27" s="172"/>
      <c r="H27" s="187"/>
      <c r="I27" s="172"/>
      <c r="J27" s="172"/>
      <c r="K27" s="173"/>
    </row>
    <row r="28" spans="2:13" ht="25.5">
      <c r="B28" s="188" t="s">
        <v>2319</v>
      </c>
      <c r="C28" s="186"/>
      <c r="D28" s="184">
        <f>(D23+D25)/D26</f>
        <v>1020.8</v>
      </c>
      <c r="E28" s="185"/>
      <c r="F28" s="172"/>
      <c r="G28" s="172"/>
      <c r="H28" s="172"/>
      <c r="I28" s="172"/>
      <c r="J28" s="172"/>
      <c r="K28" s="173"/>
    </row>
    <row r="29" spans="2:13" ht="14.45" customHeight="1">
      <c r="B29" s="182" t="s">
        <v>2320</v>
      </c>
      <c r="C29" s="186"/>
      <c r="D29" s="184">
        <f>D24+D28</f>
        <v>34193.310000000005</v>
      </c>
      <c r="E29" s="185"/>
      <c r="F29" s="172"/>
      <c r="G29" s="172"/>
      <c r="H29" s="172"/>
      <c r="I29" s="172"/>
      <c r="J29" s="172"/>
      <c r="K29" s="173"/>
    </row>
    <row r="30" spans="2:13">
      <c r="B30" s="189" t="s">
        <v>2321</v>
      </c>
      <c r="C30" s="183">
        <v>0</v>
      </c>
      <c r="D30" s="190">
        <f>(D29)*C30</f>
        <v>0</v>
      </c>
      <c r="E30" s="185"/>
      <c r="F30" s="172"/>
      <c r="G30" s="172"/>
      <c r="H30" s="172"/>
      <c r="I30" s="172"/>
      <c r="J30" s="172"/>
      <c r="K30" s="173"/>
      <c r="M30" s="165"/>
    </row>
    <row r="31" spans="2:13" ht="15">
      <c r="B31" s="191" t="s">
        <v>2322</v>
      </c>
      <c r="C31" s="395">
        <f>D29+D30</f>
        <v>34193.310000000005</v>
      </c>
      <c r="D31" s="395"/>
      <c r="E31" s="192"/>
      <c r="F31" s="193"/>
      <c r="G31" s="193"/>
      <c r="H31" s="193"/>
      <c r="I31" s="193"/>
      <c r="J31" s="193"/>
      <c r="K31" s="194"/>
    </row>
  </sheetData>
  <mergeCells count="17">
    <mergeCell ref="B14:K14"/>
    <mergeCell ref="C31:D31"/>
    <mergeCell ref="H7:H8"/>
    <mergeCell ref="I7:I8"/>
    <mergeCell ref="J7:J8"/>
    <mergeCell ref="K7:K8"/>
    <mergeCell ref="B9:K9"/>
    <mergeCell ref="B7:B8"/>
    <mergeCell ref="C7:C8"/>
    <mergeCell ref="D7:D8"/>
    <mergeCell ref="E7:E8"/>
    <mergeCell ref="F7:G7"/>
    <mergeCell ref="B2:K2"/>
    <mergeCell ref="C3:K3"/>
    <mergeCell ref="C4:K4"/>
    <mergeCell ref="C5:K5"/>
    <mergeCell ref="C6:K6"/>
  </mergeCells>
  <pageMargins left="0.51180555555555596" right="0.51180555555555596" top="0.78749999999999998" bottom="0.78749999999999998" header="0.511811023622047" footer="0.511811023622047"/>
  <pageSetup scale="60"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M32"/>
  <sheetViews>
    <sheetView view="pageBreakPreview" topLeftCell="B1" zoomScaleNormal="100" workbookViewId="0">
      <selection activeCell="K10" sqref="K10"/>
    </sheetView>
  </sheetViews>
  <sheetFormatPr defaultColWidth="8.85546875" defaultRowHeight="12.75"/>
  <cols>
    <col min="1" max="1" width="8.85546875" style="148"/>
    <col min="2" max="2" width="30.28515625" style="148" customWidth="1"/>
    <col min="3" max="10" width="12.28515625" style="148" customWidth="1"/>
    <col min="11" max="11" width="13.5703125" style="148" customWidth="1"/>
    <col min="12" max="12" width="8.85546875" style="148"/>
    <col min="13" max="13" width="14.28515625" style="148" customWidth="1"/>
    <col min="14" max="16384" width="8.85546875" style="148"/>
  </cols>
  <sheetData>
    <row r="2" spans="2:13" ht="22.35" customHeight="1">
      <c r="B2" s="389" t="s">
        <v>2245</v>
      </c>
      <c r="C2" s="389"/>
      <c r="D2" s="389"/>
      <c r="E2" s="389"/>
      <c r="F2" s="389"/>
      <c r="G2" s="389"/>
      <c r="H2" s="389"/>
      <c r="I2" s="389"/>
      <c r="J2" s="389"/>
      <c r="K2" s="389"/>
    </row>
    <row r="3" spans="2:13" ht="14.85" customHeight="1">
      <c r="B3" s="149" t="s">
        <v>2246</v>
      </c>
      <c r="C3" s="390" t="s">
        <v>2247</v>
      </c>
      <c r="D3" s="390"/>
      <c r="E3" s="390"/>
      <c r="F3" s="390"/>
      <c r="G3" s="390"/>
      <c r="H3" s="390"/>
      <c r="I3" s="390"/>
      <c r="J3" s="390"/>
      <c r="K3" s="390"/>
    </row>
    <row r="4" spans="2:13" ht="15.75">
      <c r="B4" s="150" t="s">
        <v>8</v>
      </c>
      <c r="C4" s="391">
        <v>7</v>
      </c>
      <c r="D4" s="391"/>
      <c r="E4" s="391"/>
      <c r="F4" s="391"/>
      <c r="G4" s="391"/>
      <c r="H4" s="391"/>
      <c r="I4" s="391"/>
      <c r="J4" s="391"/>
      <c r="K4" s="391"/>
    </row>
    <row r="5" spans="2:13" ht="40.15" customHeight="1">
      <c r="B5" s="150" t="s">
        <v>10</v>
      </c>
      <c r="C5" s="392" t="s">
        <v>1841</v>
      </c>
      <c r="D5" s="392"/>
      <c r="E5" s="392"/>
      <c r="F5" s="392"/>
      <c r="G5" s="392"/>
      <c r="H5" s="392"/>
      <c r="I5" s="392"/>
      <c r="J5" s="392"/>
      <c r="K5" s="392"/>
    </row>
    <row r="6" spans="2:13" ht="14.45" customHeight="1">
      <c r="B6" s="151" t="s">
        <v>2248</v>
      </c>
      <c r="C6" s="393" t="s">
        <v>48</v>
      </c>
      <c r="D6" s="393"/>
      <c r="E6" s="393"/>
      <c r="F6" s="393"/>
      <c r="G6" s="393"/>
      <c r="H6" s="393"/>
      <c r="I6" s="393"/>
      <c r="J6" s="393"/>
      <c r="K6" s="393"/>
    </row>
    <row r="7" spans="2:13" ht="13.15" customHeight="1">
      <c r="B7" s="398" t="s">
        <v>2249</v>
      </c>
      <c r="C7" s="399" t="s">
        <v>2250</v>
      </c>
      <c r="D7" s="399" t="s">
        <v>1955</v>
      </c>
      <c r="E7" s="399" t="s">
        <v>2251</v>
      </c>
      <c r="F7" s="400"/>
      <c r="G7" s="400"/>
      <c r="H7" s="396" t="s">
        <v>2252</v>
      </c>
      <c r="I7" s="396" t="s">
        <v>2253</v>
      </c>
      <c r="J7" s="396" t="s">
        <v>2254</v>
      </c>
      <c r="K7" s="397" t="s">
        <v>2255</v>
      </c>
    </row>
    <row r="8" spans="2:13">
      <c r="B8" s="398"/>
      <c r="C8" s="399"/>
      <c r="D8" s="399"/>
      <c r="E8" s="399"/>
      <c r="F8" s="152" t="s">
        <v>2256</v>
      </c>
      <c r="G8" s="152" t="s">
        <v>2257</v>
      </c>
      <c r="H8" s="396"/>
      <c r="I8" s="396"/>
      <c r="J8" s="396"/>
      <c r="K8" s="397"/>
    </row>
    <row r="9" spans="2:13" ht="14.45" customHeight="1">
      <c r="B9" s="394" t="s">
        <v>2258</v>
      </c>
      <c r="C9" s="394"/>
      <c r="D9" s="394"/>
      <c r="E9" s="394"/>
      <c r="F9" s="394"/>
      <c r="G9" s="394"/>
      <c r="H9" s="394"/>
      <c r="I9" s="394"/>
      <c r="J9" s="394"/>
      <c r="K9" s="394"/>
    </row>
    <row r="10" spans="2:13" ht="45">
      <c r="B10" s="153" t="s">
        <v>2368</v>
      </c>
      <c r="C10" s="87" t="s">
        <v>2260</v>
      </c>
      <c r="D10" s="87">
        <v>88261</v>
      </c>
      <c r="E10" s="87" t="s">
        <v>133</v>
      </c>
      <c r="F10" s="154">
        <v>2.2054830000000001</v>
      </c>
      <c r="G10" s="155">
        <v>1</v>
      </c>
      <c r="H10" s="156">
        <v>29.65</v>
      </c>
      <c r="I10" s="155">
        <v>0</v>
      </c>
      <c r="J10" s="157">
        <f>(H10)</f>
        <v>29.65</v>
      </c>
      <c r="K10" s="158">
        <f>TRUNC(SUM(F10*J10),3)</f>
        <v>65.391999999999996</v>
      </c>
    </row>
    <row r="11" spans="2:13" ht="30">
      <c r="B11" s="153" t="s">
        <v>2369</v>
      </c>
      <c r="C11" s="87" t="s">
        <v>2260</v>
      </c>
      <c r="D11" s="87">
        <v>88316</v>
      </c>
      <c r="E11" s="87" t="s">
        <v>133</v>
      </c>
      <c r="F11" s="154">
        <v>1.102741</v>
      </c>
      <c r="G11" s="155">
        <v>1</v>
      </c>
      <c r="H11" s="156">
        <v>21.28</v>
      </c>
      <c r="I11" s="155">
        <v>0</v>
      </c>
      <c r="J11" s="157">
        <f>(H11)</f>
        <v>21.28</v>
      </c>
      <c r="K11" s="158">
        <f>TRUNC(SUM(F11*J11),3)</f>
        <v>23.466000000000001</v>
      </c>
    </row>
    <row r="12" spans="2:13">
      <c r="B12" s="159"/>
      <c r="C12" s="160"/>
      <c r="D12" s="160"/>
      <c r="E12" s="160"/>
      <c r="F12" s="161"/>
      <c r="G12" s="161"/>
      <c r="H12" s="161"/>
      <c r="I12" s="162"/>
      <c r="J12" s="163" t="s">
        <v>2255</v>
      </c>
      <c r="K12" s="164">
        <f>TRUNC(SUM(K10:K11),2)</f>
        <v>88.85</v>
      </c>
      <c r="M12" s="165"/>
    </row>
    <row r="13" spans="2:13" ht="14.45" customHeight="1">
      <c r="B13" s="394" t="s">
        <v>2272</v>
      </c>
      <c r="C13" s="394"/>
      <c r="D13" s="394"/>
      <c r="E13" s="394"/>
      <c r="F13" s="394"/>
      <c r="G13" s="394"/>
      <c r="H13" s="394"/>
      <c r="I13" s="394"/>
      <c r="J13" s="394"/>
      <c r="K13" s="394"/>
    </row>
    <row r="14" spans="2:13" ht="75">
      <c r="B14" s="153" t="s">
        <v>2370</v>
      </c>
      <c r="C14" s="87" t="s">
        <v>2250</v>
      </c>
      <c r="D14" s="87">
        <v>90806</v>
      </c>
      <c r="E14" s="87" t="s">
        <v>133</v>
      </c>
      <c r="F14" s="154">
        <v>1</v>
      </c>
      <c r="G14" s="155">
        <v>1</v>
      </c>
      <c r="H14" s="156">
        <v>399.14</v>
      </c>
      <c r="I14" s="155">
        <v>0</v>
      </c>
      <c r="J14" s="157">
        <f t="shared" ref="J14:J19" si="0">H14</f>
        <v>399.14</v>
      </c>
      <c r="K14" s="158">
        <f t="shared" ref="K14:K19" si="1">TRUNC(SUM(F14*J14),2)</f>
        <v>399.14</v>
      </c>
    </row>
    <row r="15" spans="2:13" ht="90">
      <c r="B15" s="153" t="s">
        <v>2371</v>
      </c>
      <c r="C15" s="87" t="s">
        <v>2250</v>
      </c>
      <c r="D15" s="87">
        <v>90830</v>
      </c>
      <c r="E15" s="87" t="s">
        <v>133</v>
      </c>
      <c r="F15" s="154">
        <v>1</v>
      </c>
      <c r="G15" s="155">
        <v>1</v>
      </c>
      <c r="H15" s="156">
        <v>151.21</v>
      </c>
      <c r="I15" s="155">
        <v>0</v>
      </c>
      <c r="J15" s="157">
        <f t="shared" si="0"/>
        <v>151.21</v>
      </c>
      <c r="K15" s="158">
        <f t="shared" si="1"/>
        <v>151.21</v>
      </c>
    </row>
    <row r="16" spans="2:13" ht="60">
      <c r="B16" s="153" t="s">
        <v>2372</v>
      </c>
      <c r="C16" s="87" t="s">
        <v>107</v>
      </c>
      <c r="D16" s="87">
        <v>100659</v>
      </c>
      <c r="E16" s="87" t="s">
        <v>133</v>
      </c>
      <c r="F16" s="154">
        <v>14.72</v>
      </c>
      <c r="G16" s="155">
        <v>1</v>
      </c>
      <c r="H16" s="156">
        <v>11.1</v>
      </c>
      <c r="I16" s="155">
        <v>0</v>
      </c>
      <c r="J16" s="157">
        <f t="shared" si="0"/>
        <v>11.1</v>
      </c>
      <c r="K16" s="158">
        <f t="shared" si="1"/>
        <v>163.38999999999999</v>
      </c>
    </row>
    <row r="17" spans="2:13" ht="45">
      <c r="B17" s="153" t="s">
        <v>2373</v>
      </c>
      <c r="C17" s="87" t="s">
        <v>2250</v>
      </c>
      <c r="D17" s="87">
        <v>11055</v>
      </c>
      <c r="E17" s="87" t="s">
        <v>133</v>
      </c>
      <c r="F17" s="154">
        <v>48.05</v>
      </c>
      <c r="G17" s="155">
        <v>1</v>
      </c>
      <c r="H17" s="156">
        <v>0.09</v>
      </c>
      <c r="I17" s="155">
        <v>0</v>
      </c>
      <c r="J17" s="157">
        <f t="shared" si="0"/>
        <v>0.09</v>
      </c>
      <c r="K17" s="158">
        <f t="shared" si="1"/>
        <v>4.32</v>
      </c>
    </row>
    <row r="18" spans="2:13" ht="60">
      <c r="B18" s="153" t="s">
        <v>2374</v>
      </c>
      <c r="C18" s="87" t="s">
        <v>2250</v>
      </c>
      <c r="D18" s="87">
        <v>2432</v>
      </c>
      <c r="E18" s="87" t="s">
        <v>133</v>
      </c>
      <c r="F18" s="154">
        <v>6</v>
      </c>
      <c r="G18" s="155">
        <v>1</v>
      </c>
      <c r="H18" s="156">
        <v>18.97</v>
      </c>
      <c r="I18" s="155">
        <v>0</v>
      </c>
      <c r="J18" s="157">
        <f t="shared" si="0"/>
        <v>18.97</v>
      </c>
      <c r="K18" s="158">
        <f t="shared" si="1"/>
        <v>113.82</v>
      </c>
    </row>
    <row r="19" spans="2:13" ht="135">
      <c r="B19" s="153" t="s">
        <v>2375</v>
      </c>
      <c r="C19" s="87" t="s">
        <v>2250</v>
      </c>
      <c r="D19" s="87">
        <v>4992</v>
      </c>
      <c r="E19" s="87" t="s">
        <v>133</v>
      </c>
      <c r="F19" s="154">
        <v>2.3214000000000001</v>
      </c>
      <c r="G19" s="155">
        <v>1</v>
      </c>
      <c r="H19" s="156">
        <v>234.27</v>
      </c>
      <c r="I19" s="155">
        <v>0</v>
      </c>
      <c r="J19" s="157">
        <f t="shared" si="0"/>
        <v>234.27</v>
      </c>
      <c r="K19" s="158">
        <f t="shared" si="1"/>
        <v>543.83000000000004</v>
      </c>
    </row>
    <row r="20" spans="2:13">
      <c r="B20" s="166"/>
      <c r="C20" s="167"/>
      <c r="D20" s="167"/>
      <c r="E20" s="167"/>
      <c r="F20" s="167"/>
      <c r="G20" s="167"/>
      <c r="H20" s="167"/>
      <c r="I20" s="168"/>
      <c r="J20" s="169" t="s">
        <v>2255</v>
      </c>
      <c r="K20" s="170">
        <f>TRUNC(SUM(K14:K19),2)</f>
        <v>1375.71</v>
      </c>
    </row>
    <row r="21" spans="2:13">
      <c r="B21" s="171"/>
      <c r="C21" s="172"/>
      <c r="D21" s="172"/>
      <c r="E21" s="172"/>
      <c r="F21" s="172"/>
      <c r="G21" s="172"/>
      <c r="H21" s="172"/>
      <c r="I21" s="172"/>
      <c r="J21" s="172"/>
      <c r="K21" s="173"/>
    </row>
    <row r="22" spans="2:13">
      <c r="B22" s="175" t="s">
        <v>2310</v>
      </c>
      <c r="C22" s="176"/>
      <c r="D22" s="177"/>
      <c r="E22" s="172"/>
      <c r="F22" s="172"/>
      <c r="G22" s="172"/>
      <c r="H22" s="172"/>
      <c r="I22" s="172"/>
      <c r="J22" s="172"/>
      <c r="K22" s="173"/>
    </row>
    <row r="23" spans="2:13">
      <c r="B23" s="178" t="s">
        <v>2311</v>
      </c>
      <c r="C23" s="179" t="s">
        <v>2312</v>
      </c>
      <c r="D23" s="180" t="s">
        <v>2313</v>
      </c>
      <c r="E23" s="181"/>
      <c r="F23" s="172"/>
      <c r="G23" s="172"/>
      <c r="H23" s="172"/>
      <c r="I23" s="172"/>
      <c r="J23" s="172"/>
      <c r="K23" s="173"/>
    </row>
    <row r="24" spans="2:13">
      <c r="B24" s="182" t="s">
        <v>2314</v>
      </c>
      <c r="C24" s="183">
        <v>1.5737000000000001</v>
      </c>
      <c r="D24" s="184">
        <f>K12</f>
        <v>88.85</v>
      </c>
      <c r="E24" s="185"/>
      <c r="F24" s="172"/>
      <c r="G24" s="172"/>
      <c r="H24" s="172"/>
      <c r="I24" s="172"/>
      <c r="J24" s="172"/>
      <c r="K24" s="173"/>
    </row>
    <row r="25" spans="2:13">
      <c r="B25" s="182" t="s">
        <v>2315</v>
      </c>
      <c r="C25" s="186"/>
      <c r="D25" s="184">
        <f>K20</f>
        <v>1375.71</v>
      </c>
      <c r="E25" s="185"/>
      <c r="F25" s="172"/>
      <c r="G25" s="172"/>
      <c r="H25" s="172"/>
      <c r="I25" s="172"/>
      <c r="J25" s="172"/>
      <c r="K25" s="173"/>
    </row>
    <row r="26" spans="2:13">
      <c r="B26" s="182" t="s">
        <v>2316</v>
      </c>
      <c r="C26" s="186"/>
      <c r="D26" s="184">
        <v>0</v>
      </c>
      <c r="E26" s="185"/>
      <c r="F26" s="172"/>
      <c r="G26" s="172"/>
      <c r="H26" s="172"/>
      <c r="I26" s="172"/>
      <c r="J26" s="172"/>
      <c r="K26" s="173"/>
    </row>
    <row r="27" spans="2:13">
      <c r="B27" s="182" t="s">
        <v>2317</v>
      </c>
      <c r="C27" s="186"/>
      <c r="D27" s="184">
        <v>1</v>
      </c>
      <c r="E27" s="185"/>
      <c r="F27" s="172"/>
      <c r="G27" s="172"/>
      <c r="H27" s="172"/>
      <c r="I27" s="172"/>
      <c r="J27" s="172"/>
      <c r="K27" s="173"/>
    </row>
    <row r="28" spans="2:13">
      <c r="B28" s="182" t="s">
        <v>2318</v>
      </c>
      <c r="C28" s="186"/>
      <c r="D28" s="184">
        <f>D24+D26</f>
        <v>88.85</v>
      </c>
      <c r="E28" s="185"/>
      <c r="F28" s="172"/>
      <c r="G28" s="172"/>
      <c r="H28" s="187"/>
      <c r="I28" s="172"/>
      <c r="J28" s="172"/>
      <c r="K28" s="173"/>
    </row>
    <row r="29" spans="2:13" ht="25.5">
      <c r="B29" s="188" t="s">
        <v>2319</v>
      </c>
      <c r="C29" s="186"/>
      <c r="D29" s="184">
        <f>(D24+D26)/D27</f>
        <v>88.85</v>
      </c>
      <c r="E29" s="185"/>
      <c r="F29" s="172"/>
      <c r="G29" s="172"/>
      <c r="H29" s="172"/>
      <c r="I29" s="172"/>
      <c r="J29" s="172"/>
      <c r="K29" s="173"/>
    </row>
    <row r="30" spans="2:13" ht="14.45" customHeight="1">
      <c r="B30" s="182" t="s">
        <v>2320</v>
      </c>
      <c r="C30" s="186"/>
      <c r="D30" s="184">
        <f>D25+D29</f>
        <v>1464.56</v>
      </c>
      <c r="E30" s="185"/>
      <c r="F30" s="172"/>
      <c r="G30" s="172"/>
      <c r="H30" s="172"/>
      <c r="I30" s="172"/>
      <c r="J30" s="172"/>
      <c r="K30" s="173"/>
    </row>
    <row r="31" spans="2:13">
      <c r="B31" s="189" t="s">
        <v>2321</v>
      </c>
      <c r="C31" s="183">
        <v>0</v>
      </c>
      <c r="D31" s="190">
        <f>(D30)*C31</f>
        <v>0</v>
      </c>
      <c r="E31" s="185"/>
      <c r="F31" s="172"/>
      <c r="G31" s="172"/>
      <c r="H31" s="172"/>
      <c r="I31" s="172"/>
      <c r="J31" s="172"/>
      <c r="K31" s="173"/>
      <c r="M31" s="165"/>
    </row>
    <row r="32" spans="2:13" ht="15">
      <c r="B32" s="191" t="s">
        <v>2322</v>
      </c>
      <c r="C32" s="395">
        <f>D30+D31</f>
        <v>1464.56</v>
      </c>
      <c r="D32" s="395"/>
      <c r="E32" s="192"/>
      <c r="F32" s="193"/>
      <c r="G32" s="193"/>
      <c r="H32" s="193"/>
      <c r="I32" s="193"/>
      <c r="J32" s="193"/>
      <c r="K32" s="194"/>
    </row>
  </sheetData>
  <mergeCells count="17">
    <mergeCell ref="B13:K13"/>
    <mergeCell ref="C32:D32"/>
    <mergeCell ref="H7:H8"/>
    <mergeCell ref="I7:I8"/>
    <mergeCell ref="J7:J8"/>
    <mergeCell ref="K7:K8"/>
    <mergeCell ref="B9:K9"/>
    <mergeCell ref="B7:B8"/>
    <mergeCell ref="C7:C8"/>
    <mergeCell ref="D7:D8"/>
    <mergeCell ref="E7:E8"/>
    <mergeCell ref="F7:G7"/>
    <mergeCell ref="B2:K2"/>
    <mergeCell ref="C3:K3"/>
    <mergeCell ref="C4:K4"/>
    <mergeCell ref="C5:K5"/>
    <mergeCell ref="C6:K6"/>
  </mergeCells>
  <pageMargins left="0.51180555555555596" right="0.51180555555555596" top="0.78749999999999998" bottom="0.78749999999999998" header="0.511811023622047" footer="0.511811023622047"/>
  <pageSetup scale="6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N36"/>
  <sheetViews>
    <sheetView view="pageBreakPreview" zoomScaleNormal="100" workbookViewId="0">
      <selection activeCell="K10" sqref="K10"/>
    </sheetView>
  </sheetViews>
  <sheetFormatPr defaultColWidth="8.85546875" defaultRowHeight="12.75"/>
  <cols>
    <col min="1" max="1" width="8.85546875" style="148"/>
    <col min="2" max="2" width="30.28515625" style="148" customWidth="1"/>
    <col min="3" max="11" width="12.28515625" style="148" customWidth="1"/>
    <col min="12" max="12" width="13.5703125" style="148" customWidth="1"/>
    <col min="13" max="13" width="8.85546875" style="148"/>
    <col min="14" max="14" width="14.28515625" style="148" customWidth="1"/>
    <col min="15" max="16384" width="8.85546875" style="148"/>
  </cols>
  <sheetData>
    <row r="2" spans="2:14" ht="22.35" customHeight="1">
      <c r="B2" s="389" t="s">
        <v>2245</v>
      </c>
      <c r="C2" s="389"/>
      <c r="D2" s="389"/>
      <c r="E2" s="389"/>
      <c r="F2" s="389"/>
      <c r="G2" s="389"/>
      <c r="H2" s="389"/>
      <c r="I2" s="389"/>
      <c r="J2" s="389"/>
      <c r="K2" s="389"/>
      <c r="L2" s="389"/>
    </row>
    <row r="3" spans="2:14" ht="14.85" customHeight="1">
      <c r="B3" s="149" t="s">
        <v>2246</v>
      </c>
      <c r="C3" s="390" t="s">
        <v>2247</v>
      </c>
      <c r="D3" s="390"/>
      <c r="E3" s="390"/>
      <c r="F3" s="390"/>
      <c r="G3" s="390"/>
      <c r="H3" s="390"/>
      <c r="I3" s="390"/>
      <c r="J3" s="390"/>
      <c r="K3" s="390"/>
      <c r="L3" s="390"/>
    </row>
    <row r="4" spans="2:14" ht="15.75">
      <c r="B4" s="150" t="s">
        <v>8</v>
      </c>
      <c r="C4" s="391">
        <v>8</v>
      </c>
      <c r="D4" s="391"/>
      <c r="E4" s="391"/>
      <c r="F4" s="391"/>
      <c r="G4" s="391"/>
      <c r="H4" s="391"/>
      <c r="I4" s="391"/>
      <c r="J4" s="391"/>
      <c r="K4" s="391"/>
      <c r="L4" s="391"/>
    </row>
    <row r="5" spans="2:14" ht="33.6" customHeight="1">
      <c r="B5" s="150" t="s">
        <v>10</v>
      </c>
      <c r="C5" s="392" t="s">
        <v>1846</v>
      </c>
      <c r="D5" s="392"/>
      <c r="E5" s="392"/>
      <c r="F5" s="392"/>
      <c r="G5" s="392"/>
      <c r="H5" s="392"/>
      <c r="I5" s="392"/>
      <c r="J5" s="392"/>
      <c r="K5" s="392"/>
      <c r="L5" s="392"/>
    </row>
    <row r="6" spans="2:14" ht="14.45" customHeight="1">
      <c r="B6" s="151" t="s">
        <v>2248</v>
      </c>
      <c r="C6" s="393" t="s">
        <v>25</v>
      </c>
      <c r="D6" s="393"/>
      <c r="E6" s="393"/>
      <c r="F6" s="393"/>
      <c r="G6" s="393"/>
      <c r="H6" s="393"/>
      <c r="I6" s="393"/>
      <c r="J6" s="393"/>
      <c r="K6" s="393"/>
      <c r="L6" s="393"/>
    </row>
    <row r="7" spans="2:14" ht="13.15" customHeight="1">
      <c r="B7" s="398" t="s">
        <v>2249</v>
      </c>
      <c r="C7" s="399" t="s">
        <v>2250</v>
      </c>
      <c r="D7" s="399" t="s">
        <v>1955</v>
      </c>
      <c r="E7" s="399" t="s">
        <v>2251</v>
      </c>
      <c r="F7" s="400"/>
      <c r="G7" s="400"/>
      <c r="H7" s="396" t="s">
        <v>2252</v>
      </c>
      <c r="I7" s="396" t="s">
        <v>2253</v>
      </c>
      <c r="J7" s="396" t="s">
        <v>2254</v>
      </c>
      <c r="K7" s="396" t="s">
        <v>2376</v>
      </c>
      <c r="L7" s="397" t="s">
        <v>2255</v>
      </c>
    </row>
    <row r="8" spans="2:14">
      <c r="B8" s="398"/>
      <c r="C8" s="399"/>
      <c r="D8" s="399"/>
      <c r="E8" s="399"/>
      <c r="F8" s="152" t="s">
        <v>2256</v>
      </c>
      <c r="G8" s="152" t="s">
        <v>2257</v>
      </c>
      <c r="H8" s="396"/>
      <c r="I8" s="396"/>
      <c r="J8" s="396"/>
      <c r="K8" s="396"/>
      <c r="L8" s="397"/>
    </row>
    <row r="9" spans="2:14" ht="14.45" customHeight="1">
      <c r="B9" s="394" t="s">
        <v>2258</v>
      </c>
      <c r="C9" s="394"/>
      <c r="D9" s="394"/>
      <c r="E9" s="394"/>
      <c r="F9" s="394"/>
      <c r="G9" s="394"/>
      <c r="H9" s="394"/>
      <c r="I9" s="394"/>
      <c r="J9" s="394"/>
      <c r="K9" s="394"/>
      <c r="L9" s="394"/>
    </row>
    <row r="10" spans="2:14" ht="30">
      <c r="B10" s="153" t="s">
        <v>2266</v>
      </c>
      <c r="C10" s="87" t="s">
        <v>2260</v>
      </c>
      <c r="D10" s="87" t="s">
        <v>2336</v>
      </c>
      <c r="E10" s="87" t="s">
        <v>1810</v>
      </c>
      <c r="F10" s="154">
        <v>3</v>
      </c>
      <c r="G10" s="155">
        <v>1</v>
      </c>
      <c r="H10" s="156">
        <v>8.84</v>
      </c>
      <c r="I10" s="155">
        <v>0</v>
      </c>
      <c r="J10" s="157">
        <f>TRUNC(H10+(H10*$C$28),2)</f>
        <v>22.75</v>
      </c>
      <c r="K10" s="195" t="s">
        <v>2377</v>
      </c>
      <c r="L10" s="158">
        <f>TRUNC(SUM(F10*J10),3)</f>
        <v>68.25</v>
      </c>
    </row>
    <row r="11" spans="2:14" ht="30">
      <c r="B11" s="153" t="s">
        <v>2270</v>
      </c>
      <c r="C11" s="87" t="s">
        <v>2260</v>
      </c>
      <c r="D11" s="87" t="s">
        <v>2337</v>
      </c>
      <c r="E11" s="87" t="s">
        <v>1810</v>
      </c>
      <c r="F11" s="154">
        <v>3.06</v>
      </c>
      <c r="G11" s="155">
        <v>1</v>
      </c>
      <c r="H11" s="156">
        <v>6.56</v>
      </c>
      <c r="I11" s="155">
        <v>0</v>
      </c>
      <c r="J11" s="157">
        <f>TRUNC(H11+(H11*$C$28),2)</f>
        <v>16.88</v>
      </c>
      <c r="K11" s="195" t="s">
        <v>2377</v>
      </c>
      <c r="L11" s="158">
        <f>TRUNC(SUM(F11*J11),3)</f>
        <v>51.652000000000001</v>
      </c>
    </row>
    <row r="12" spans="2:14">
      <c r="B12" s="159"/>
      <c r="C12" s="160"/>
      <c r="D12" s="160"/>
      <c r="E12" s="160"/>
      <c r="F12" s="161"/>
      <c r="G12" s="161"/>
      <c r="H12" s="161"/>
      <c r="I12" s="161"/>
      <c r="J12" s="196"/>
      <c r="K12" s="163" t="s">
        <v>2255</v>
      </c>
      <c r="L12" s="164">
        <f>TRUNC(SUM(L10:L11),2)</f>
        <v>119.9</v>
      </c>
      <c r="N12" s="165"/>
    </row>
    <row r="13" spans="2:14" ht="14.45" customHeight="1">
      <c r="B13" s="394" t="s">
        <v>2272</v>
      </c>
      <c r="C13" s="394"/>
      <c r="D13" s="394"/>
      <c r="E13" s="394"/>
      <c r="F13" s="394"/>
      <c r="G13" s="394"/>
      <c r="H13" s="394"/>
      <c r="I13" s="394"/>
      <c r="J13" s="394"/>
      <c r="K13" s="394"/>
      <c r="L13" s="394"/>
    </row>
    <row r="14" spans="2:14" ht="15">
      <c r="B14" s="153" t="s">
        <v>2273</v>
      </c>
      <c r="C14" s="87" t="s">
        <v>38</v>
      </c>
      <c r="D14" s="87">
        <v>20503</v>
      </c>
      <c r="E14" s="87" t="s">
        <v>1810</v>
      </c>
      <c r="F14" s="154">
        <v>7.1739999999999998E-3</v>
      </c>
      <c r="G14" s="155">
        <v>1</v>
      </c>
      <c r="H14" s="156">
        <v>126.67</v>
      </c>
      <c r="I14" s="155">
        <v>0</v>
      </c>
      <c r="J14" s="157">
        <f t="shared" ref="J14:J19" si="0">H14</f>
        <v>126.67</v>
      </c>
      <c r="K14" s="195"/>
      <c r="L14" s="197">
        <f>TRUNC(SUM(F14*J14),2)</f>
        <v>0.9</v>
      </c>
    </row>
    <row r="15" spans="2:14" ht="30">
      <c r="B15" s="153" t="s">
        <v>2378</v>
      </c>
      <c r="C15" s="87" t="s">
        <v>107</v>
      </c>
      <c r="D15" s="87">
        <v>28068</v>
      </c>
      <c r="E15" s="87" t="s">
        <v>1810</v>
      </c>
      <c r="F15" s="154">
        <v>2.79</v>
      </c>
      <c r="G15" s="155">
        <v>1</v>
      </c>
      <c r="H15" s="156">
        <v>7.55</v>
      </c>
      <c r="I15" s="155">
        <v>0</v>
      </c>
      <c r="J15" s="157">
        <f t="shared" si="0"/>
        <v>7.55</v>
      </c>
      <c r="K15" s="195" t="s">
        <v>2379</v>
      </c>
      <c r="L15" s="197">
        <f>TRUNC(SUM(F15*J15)*1.512,2)</f>
        <v>31.84</v>
      </c>
    </row>
    <row r="16" spans="2:14" ht="30">
      <c r="B16" s="153" t="s">
        <v>2276</v>
      </c>
      <c r="C16" s="87" t="s">
        <v>1741</v>
      </c>
      <c r="D16" s="87">
        <v>20505</v>
      </c>
      <c r="E16" s="87" t="s">
        <v>1810</v>
      </c>
      <c r="F16" s="154">
        <v>0.4914</v>
      </c>
      <c r="G16" s="155">
        <v>1</v>
      </c>
      <c r="H16" s="156">
        <v>0.92</v>
      </c>
      <c r="I16" s="155">
        <v>0</v>
      </c>
      <c r="J16" s="157">
        <f t="shared" si="0"/>
        <v>0.92</v>
      </c>
      <c r="K16" s="195"/>
      <c r="L16" s="197">
        <f>TRUNC(SUM(F16*J16),2)</f>
        <v>0.45</v>
      </c>
    </row>
    <row r="17" spans="2:12" ht="45">
      <c r="B17" s="153" t="s">
        <v>2380</v>
      </c>
      <c r="C17" s="87" t="s">
        <v>107</v>
      </c>
      <c r="D17" s="87">
        <v>49666</v>
      </c>
      <c r="E17" s="87" t="s">
        <v>1810</v>
      </c>
      <c r="F17" s="154">
        <v>2.66</v>
      </c>
      <c r="G17" s="155">
        <v>1</v>
      </c>
      <c r="H17" s="156">
        <v>16.600000000000001</v>
      </c>
      <c r="I17" s="155">
        <v>0</v>
      </c>
      <c r="J17" s="157">
        <f t="shared" si="0"/>
        <v>16.600000000000001</v>
      </c>
      <c r="K17" s="195" t="s">
        <v>2379</v>
      </c>
      <c r="L17" s="197">
        <f>TRUNC(SUM(F17*J17)*1.512,2)</f>
        <v>66.760000000000005</v>
      </c>
    </row>
    <row r="18" spans="2:12" ht="30">
      <c r="B18" s="153" t="s">
        <v>2381</v>
      </c>
      <c r="C18" s="87" t="s">
        <v>25</v>
      </c>
      <c r="D18" s="87">
        <v>68047</v>
      </c>
      <c r="E18" s="87" t="s">
        <v>1810</v>
      </c>
      <c r="F18" s="154">
        <v>1.05</v>
      </c>
      <c r="G18" s="155">
        <v>1</v>
      </c>
      <c r="H18" s="156">
        <v>176.62</v>
      </c>
      <c r="I18" s="155">
        <v>0</v>
      </c>
      <c r="J18" s="157">
        <f t="shared" si="0"/>
        <v>176.62</v>
      </c>
      <c r="K18" s="195" t="s">
        <v>2379</v>
      </c>
      <c r="L18" s="197">
        <f>TRUNC(SUM(F18*J18)*1.512,2)</f>
        <v>280.39999999999998</v>
      </c>
    </row>
    <row r="19" spans="2:12" ht="30">
      <c r="B19" s="153" t="s">
        <v>2278</v>
      </c>
      <c r="C19" s="87" t="s">
        <v>1741</v>
      </c>
      <c r="D19" s="87">
        <v>20508</v>
      </c>
      <c r="E19" s="87" t="s">
        <v>1810</v>
      </c>
      <c r="F19" s="154">
        <v>2.0466000000000002</v>
      </c>
      <c r="G19" s="155">
        <v>1</v>
      </c>
      <c r="H19" s="156">
        <v>0.59</v>
      </c>
      <c r="I19" s="155">
        <v>0</v>
      </c>
      <c r="J19" s="157">
        <f t="shared" si="0"/>
        <v>0.59</v>
      </c>
      <c r="K19" s="195"/>
      <c r="L19" s="197">
        <f>TRUNC(SUM(F19*J19),2)</f>
        <v>1.2</v>
      </c>
    </row>
    <row r="20" spans="2:12" ht="30">
      <c r="B20" s="153" t="s">
        <v>2382</v>
      </c>
      <c r="C20" s="87" t="s">
        <v>48</v>
      </c>
      <c r="D20" s="87">
        <v>31515</v>
      </c>
      <c r="E20" s="87" t="s">
        <v>1810</v>
      </c>
      <c r="F20" s="154">
        <v>0.126</v>
      </c>
      <c r="G20" s="155">
        <v>1</v>
      </c>
      <c r="H20" s="156">
        <v>84.01</v>
      </c>
      <c r="I20" s="155">
        <v>0</v>
      </c>
      <c r="J20" s="157">
        <v>85.79</v>
      </c>
      <c r="K20" s="195" t="s">
        <v>2379</v>
      </c>
      <c r="L20" s="197">
        <f>TRUNC(SUM(F20*J20)*1.512,2)</f>
        <v>16.34</v>
      </c>
    </row>
    <row r="21" spans="2:12" ht="30">
      <c r="B21" s="153" t="s">
        <v>2383</v>
      </c>
      <c r="C21" s="87" t="s">
        <v>1741</v>
      </c>
      <c r="D21" s="87">
        <v>79375</v>
      </c>
      <c r="E21" s="87" t="s">
        <v>1810</v>
      </c>
      <c r="F21" s="154">
        <v>8.48</v>
      </c>
      <c r="G21" s="155">
        <v>1</v>
      </c>
      <c r="H21" s="156">
        <v>3.27</v>
      </c>
      <c r="I21" s="155">
        <v>0</v>
      </c>
      <c r="J21" s="157">
        <f>H21</f>
        <v>3.27</v>
      </c>
      <c r="K21" s="195" t="s">
        <v>2379</v>
      </c>
      <c r="L21" s="197">
        <f>TRUNC(SUM(F21*J21)*1.512,2)</f>
        <v>41.92</v>
      </c>
    </row>
    <row r="22" spans="2:12" ht="30">
      <c r="B22" s="153" t="s">
        <v>2384</v>
      </c>
      <c r="C22" s="87" t="s">
        <v>107</v>
      </c>
      <c r="D22" s="87">
        <v>70328</v>
      </c>
      <c r="E22" s="87" t="s">
        <v>1810</v>
      </c>
      <c r="F22" s="154">
        <v>3.7</v>
      </c>
      <c r="G22" s="155">
        <v>1</v>
      </c>
      <c r="H22" s="156">
        <v>82.75</v>
      </c>
      <c r="I22" s="155">
        <v>0</v>
      </c>
      <c r="J22" s="157">
        <f>H22</f>
        <v>82.75</v>
      </c>
      <c r="K22" s="195" t="s">
        <v>2379</v>
      </c>
      <c r="L22" s="197">
        <f>TRUNC(SUM(F22*J22)*1.512,2)</f>
        <v>462.93</v>
      </c>
    </row>
    <row r="23" spans="2:12" ht="45">
      <c r="B23" s="153" t="s">
        <v>2385</v>
      </c>
      <c r="C23" s="87" t="s">
        <v>48</v>
      </c>
      <c r="D23" s="87">
        <v>34383</v>
      </c>
      <c r="E23" s="87" t="s">
        <v>1810</v>
      </c>
      <c r="F23" s="154">
        <v>0.4</v>
      </c>
      <c r="G23" s="155">
        <v>1</v>
      </c>
      <c r="H23" s="156">
        <v>40.68</v>
      </c>
      <c r="I23" s="155">
        <v>0</v>
      </c>
      <c r="J23" s="157">
        <f>H23</f>
        <v>40.68</v>
      </c>
      <c r="K23" s="195" t="s">
        <v>2379</v>
      </c>
      <c r="L23" s="197">
        <f>TRUNC(SUM(F23*J23)*1.512,2)</f>
        <v>24.6</v>
      </c>
    </row>
    <row r="24" spans="2:12">
      <c r="B24" s="166"/>
      <c r="C24" s="167"/>
      <c r="D24" s="167"/>
      <c r="E24" s="167"/>
      <c r="F24" s="167"/>
      <c r="G24" s="167"/>
      <c r="H24" s="167"/>
      <c r="I24" s="167"/>
      <c r="J24" s="196"/>
      <c r="K24" s="169" t="s">
        <v>2255</v>
      </c>
      <c r="L24" s="170">
        <f>TRUNC(SUM(L14:L23),2)</f>
        <v>927.34</v>
      </c>
    </row>
    <row r="25" spans="2:12">
      <c r="B25" s="171"/>
      <c r="C25" s="172"/>
      <c r="D25" s="172"/>
      <c r="E25" s="172"/>
      <c r="F25" s="172"/>
      <c r="G25" s="172"/>
      <c r="H25" s="172"/>
      <c r="I25" s="172"/>
      <c r="J25" s="172"/>
      <c r="K25" s="172"/>
      <c r="L25" s="173"/>
    </row>
    <row r="26" spans="2:12">
      <c r="B26" s="175" t="s">
        <v>2310</v>
      </c>
      <c r="C26" s="176"/>
      <c r="D26" s="177"/>
      <c r="E26" s="172"/>
      <c r="F26" s="172"/>
      <c r="G26" s="172"/>
      <c r="H26" s="172"/>
      <c r="I26" s="172"/>
      <c r="J26" s="172"/>
      <c r="K26" s="172"/>
      <c r="L26" s="173"/>
    </row>
    <row r="27" spans="2:12">
      <c r="B27" s="178" t="s">
        <v>2311</v>
      </c>
      <c r="C27" s="179" t="s">
        <v>2312</v>
      </c>
      <c r="D27" s="180" t="s">
        <v>2313</v>
      </c>
      <c r="E27" s="181"/>
      <c r="F27" s="172"/>
      <c r="G27" s="172"/>
      <c r="H27" s="172"/>
      <c r="I27" s="172"/>
      <c r="J27" s="172"/>
      <c r="K27" s="172"/>
      <c r="L27" s="173"/>
    </row>
    <row r="28" spans="2:12">
      <c r="B28" s="182" t="s">
        <v>2314</v>
      </c>
      <c r="C28" s="183">
        <v>1.5737000000000001</v>
      </c>
      <c r="D28" s="184">
        <f>L12</f>
        <v>119.9</v>
      </c>
      <c r="E28" s="185"/>
      <c r="F28" s="172"/>
      <c r="G28" s="172"/>
      <c r="H28" s="172"/>
      <c r="I28" s="172"/>
      <c r="J28" s="172"/>
      <c r="K28" s="172"/>
      <c r="L28" s="173"/>
    </row>
    <row r="29" spans="2:12">
      <c r="B29" s="182" t="s">
        <v>2315</v>
      </c>
      <c r="C29" s="186"/>
      <c r="D29" s="184">
        <f>L24</f>
        <v>927.34</v>
      </c>
      <c r="E29" s="185"/>
      <c r="F29" s="172"/>
      <c r="G29" s="172"/>
      <c r="H29" s="172"/>
      <c r="I29" s="172"/>
      <c r="J29" s="172"/>
      <c r="K29" s="172"/>
      <c r="L29" s="173"/>
    </row>
    <row r="30" spans="2:12">
      <c r="B30" s="182" t="s">
        <v>2316</v>
      </c>
      <c r="C30" s="186"/>
      <c r="D30" s="184">
        <v>0</v>
      </c>
      <c r="E30" s="185"/>
      <c r="F30" s="172"/>
      <c r="G30" s="172"/>
      <c r="H30" s="172"/>
      <c r="I30" s="172"/>
      <c r="J30" s="172"/>
      <c r="K30" s="172"/>
      <c r="L30" s="173"/>
    </row>
    <row r="31" spans="2:12">
      <c r="B31" s="182" t="s">
        <v>2317</v>
      </c>
      <c r="C31" s="186"/>
      <c r="D31" s="184">
        <v>1</v>
      </c>
      <c r="E31" s="185"/>
      <c r="F31" s="172"/>
      <c r="G31" s="172"/>
      <c r="H31" s="172"/>
      <c r="I31" s="172"/>
      <c r="J31" s="172"/>
      <c r="K31" s="172"/>
      <c r="L31" s="173"/>
    </row>
    <row r="32" spans="2:12">
      <c r="B32" s="182" t="s">
        <v>2318</v>
      </c>
      <c r="C32" s="186"/>
      <c r="D32" s="184">
        <f>D28+D30</f>
        <v>119.9</v>
      </c>
      <c r="E32" s="185"/>
      <c r="F32" s="172"/>
      <c r="G32" s="172"/>
      <c r="H32" s="187"/>
      <c r="I32" s="172"/>
      <c r="J32" s="172"/>
      <c r="K32" s="172"/>
      <c r="L32" s="173"/>
    </row>
    <row r="33" spans="2:14" ht="25.5">
      <c r="B33" s="188" t="s">
        <v>2319</v>
      </c>
      <c r="C33" s="186"/>
      <c r="D33" s="184">
        <f>(D28+D30)/D31</f>
        <v>119.9</v>
      </c>
      <c r="E33" s="185"/>
      <c r="F33" s="172"/>
      <c r="G33" s="172"/>
      <c r="H33" s="172"/>
      <c r="I33" s="172"/>
      <c r="J33" s="172"/>
      <c r="K33" s="172"/>
      <c r="L33" s="173"/>
    </row>
    <row r="34" spans="2:14" ht="14.45" customHeight="1">
      <c r="B34" s="182" t="s">
        <v>2320</v>
      </c>
      <c r="C34" s="186"/>
      <c r="D34" s="184">
        <f>D29+D33</f>
        <v>1047.24</v>
      </c>
      <c r="E34" s="185"/>
      <c r="F34" s="172"/>
      <c r="G34" s="172"/>
      <c r="H34" s="172"/>
      <c r="I34" s="172"/>
      <c r="J34" s="172"/>
      <c r="K34" s="172"/>
      <c r="L34" s="173"/>
    </row>
    <row r="35" spans="2:14">
      <c r="B35" s="189" t="s">
        <v>2321</v>
      </c>
      <c r="C35" s="183">
        <v>0</v>
      </c>
      <c r="D35" s="190">
        <f>(D34)*C35</f>
        <v>0</v>
      </c>
      <c r="E35" s="185"/>
      <c r="F35" s="172"/>
      <c r="G35" s="172"/>
      <c r="H35" s="172"/>
      <c r="I35" s="172"/>
      <c r="J35" s="172"/>
      <c r="K35" s="172"/>
      <c r="L35" s="173"/>
      <c r="N35" s="165"/>
    </row>
    <row r="36" spans="2:14" ht="15">
      <c r="B36" s="191" t="s">
        <v>2322</v>
      </c>
      <c r="C36" s="395">
        <f>D34+D35</f>
        <v>1047.24</v>
      </c>
      <c r="D36" s="395"/>
      <c r="E36" s="192"/>
      <c r="F36" s="193"/>
      <c r="G36" s="193"/>
      <c r="H36" s="193"/>
      <c r="I36" s="193"/>
      <c r="J36" s="193"/>
      <c r="K36" s="193"/>
      <c r="L36" s="194"/>
    </row>
  </sheetData>
  <mergeCells count="18">
    <mergeCell ref="B9:L9"/>
    <mergeCell ref="B13:L13"/>
    <mergeCell ref="C36:D36"/>
    <mergeCell ref="H7:H8"/>
    <mergeCell ref="I7:I8"/>
    <mergeCell ref="J7:J8"/>
    <mergeCell ref="K7:K8"/>
    <mergeCell ref="L7:L8"/>
    <mergeCell ref="B7:B8"/>
    <mergeCell ref="C7:C8"/>
    <mergeCell ref="D7:D8"/>
    <mergeCell ref="E7:E8"/>
    <mergeCell ref="F7:G7"/>
    <mergeCell ref="B2:L2"/>
    <mergeCell ref="C3:L3"/>
    <mergeCell ref="C4:L4"/>
    <mergeCell ref="C5:L5"/>
    <mergeCell ref="C6:L6"/>
  </mergeCells>
  <pageMargins left="0.51180555555555596" right="0.51180555555555596" top="1.3472222222222201" bottom="0.78749999999999998" header="0.511811023622047" footer="0.511811023622047"/>
  <pageSetup scale="55"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N30"/>
  <sheetViews>
    <sheetView view="pageBreakPreview" zoomScaleNormal="100" workbookViewId="0">
      <selection activeCell="K10" sqref="K10"/>
    </sheetView>
  </sheetViews>
  <sheetFormatPr defaultColWidth="8.85546875" defaultRowHeight="12.75"/>
  <cols>
    <col min="1" max="1" width="8.85546875" style="148"/>
    <col min="2" max="2" width="30.28515625" style="148" customWidth="1"/>
    <col min="3" max="11" width="12.28515625" style="148" customWidth="1"/>
    <col min="12" max="12" width="13.5703125" style="148" customWidth="1"/>
    <col min="13" max="13" width="8.85546875" style="148"/>
    <col min="14" max="14" width="14.28515625" style="148" customWidth="1"/>
    <col min="15" max="16384" width="8.85546875" style="148"/>
  </cols>
  <sheetData>
    <row r="2" spans="2:14" ht="22.35" customHeight="1">
      <c r="B2" s="389" t="s">
        <v>2245</v>
      </c>
      <c r="C2" s="389"/>
      <c r="D2" s="389"/>
      <c r="E2" s="389"/>
      <c r="F2" s="389"/>
      <c r="G2" s="389"/>
      <c r="H2" s="389"/>
      <c r="I2" s="389"/>
      <c r="J2" s="389"/>
      <c r="K2" s="389"/>
      <c r="L2" s="389"/>
    </row>
    <row r="3" spans="2:14" ht="14.85" customHeight="1">
      <c r="B3" s="149" t="s">
        <v>2246</v>
      </c>
      <c r="C3" s="390" t="s">
        <v>2247</v>
      </c>
      <c r="D3" s="390"/>
      <c r="E3" s="390"/>
      <c r="F3" s="390"/>
      <c r="G3" s="390"/>
      <c r="H3" s="390"/>
      <c r="I3" s="390"/>
      <c r="J3" s="390"/>
      <c r="K3" s="390"/>
      <c r="L3" s="390"/>
    </row>
    <row r="4" spans="2:14" ht="15.75">
      <c r="B4" s="150" t="s">
        <v>8</v>
      </c>
      <c r="C4" s="391">
        <v>9</v>
      </c>
      <c r="D4" s="391"/>
      <c r="E4" s="391"/>
      <c r="F4" s="391"/>
      <c r="G4" s="391"/>
      <c r="H4" s="391"/>
      <c r="I4" s="391"/>
      <c r="J4" s="391"/>
      <c r="K4" s="391"/>
      <c r="L4" s="391"/>
    </row>
    <row r="5" spans="2:14" ht="33.6" customHeight="1">
      <c r="B5" s="150" t="s">
        <v>10</v>
      </c>
      <c r="C5" s="392" t="s">
        <v>1872</v>
      </c>
      <c r="D5" s="392"/>
      <c r="E5" s="392"/>
      <c r="F5" s="392"/>
      <c r="G5" s="392"/>
      <c r="H5" s="392"/>
      <c r="I5" s="392"/>
      <c r="J5" s="392"/>
      <c r="K5" s="392"/>
      <c r="L5" s="392"/>
    </row>
    <row r="6" spans="2:14" ht="14.45" customHeight="1">
      <c r="B6" s="151" t="s">
        <v>2248</v>
      </c>
      <c r="C6" s="393" t="s">
        <v>48</v>
      </c>
      <c r="D6" s="393"/>
      <c r="E6" s="393"/>
      <c r="F6" s="393"/>
      <c r="G6" s="393"/>
      <c r="H6" s="393"/>
      <c r="I6" s="393"/>
      <c r="J6" s="393"/>
      <c r="K6" s="393"/>
      <c r="L6" s="393"/>
    </row>
    <row r="7" spans="2:14" ht="13.15" customHeight="1">
      <c r="B7" s="398" t="s">
        <v>2249</v>
      </c>
      <c r="C7" s="399" t="s">
        <v>2250</v>
      </c>
      <c r="D7" s="399" t="s">
        <v>1955</v>
      </c>
      <c r="E7" s="399" t="s">
        <v>2251</v>
      </c>
      <c r="F7" s="400"/>
      <c r="G7" s="400"/>
      <c r="H7" s="396" t="s">
        <v>2252</v>
      </c>
      <c r="I7" s="396" t="s">
        <v>2253</v>
      </c>
      <c r="J7" s="396" t="s">
        <v>2254</v>
      </c>
      <c r="K7" s="396" t="s">
        <v>2376</v>
      </c>
      <c r="L7" s="397" t="s">
        <v>2255</v>
      </c>
    </row>
    <row r="8" spans="2:14">
      <c r="B8" s="398"/>
      <c r="C8" s="399"/>
      <c r="D8" s="399"/>
      <c r="E8" s="399"/>
      <c r="F8" s="152" t="s">
        <v>2256</v>
      </c>
      <c r="G8" s="152" t="s">
        <v>2257</v>
      </c>
      <c r="H8" s="396"/>
      <c r="I8" s="396"/>
      <c r="J8" s="396"/>
      <c r="K8" s="396"/>
      <c r="L8" s="397"/>
    </row>
    <row r="9" spans="2:14" ht="14.45" customHeight="1">
      <c r="B9" s="394" t="s">
        <v>2258</v>
      </c>
      <c r="C9" s="394"/>
      <c r="D9" s="394"/>
      <c r="E9" s="394"/>
      <c r="F9" s="394"/>
      <c r="G9" s="394"/>
      <c r="H9" s="394"/>
      <c r="I9" s="394"/>
      <c r="J9" s="394"/>
      <c r="K9" s="394"/>
      <c r="L9" s="394"/>
    </row>
    <row r="10" spans="2:14" ht="30">
      <c r="B10" s="153" t="s">
        <v>2266</v>
      </c>
      <c r="C10" s="87" t="s">
        <v>2260</v>
      </c>
      <c r="D10" s="87" t="s">
        <v>2336</v>
      </c>
      <c r="E10" s="87" t="s">
        <v>1810</v>
      </c>
      <c r="F10" s="154">
        <v>1.6185</v>
      </c>
      <c r="G10" s="155">
        <v>1</v>
      </c>
      <c r="H10" s="156">
        <v>8.84</v>
      </c>
      <c r="I10" s="155">
        <v>0</v>
      </c>
      <c r="J10" s="157">
        <f>TRUNC(H10+(H10*$C$22),2)</f>
        <v>22.75</v>
      </c>
      <c r="K10" s="195" t="s">
        <v>2377</v>
      </c>
      <c r="L10" s="158">
        <f>TRUNC(SUM(F10*J10),3)</f>
        <v>36.82</v>
      </c>
    </row>
    <row r="11" spans="2:14" ht="30">
      <c r="B11" s="153" t="s">
        <v>2270</v>
      </c>
      <c r="C11" s="87" t="s">
        <v>2260</v>
      </c>
      <c r="D11" s="87" t="s">
        <v>2337</v>
      </c>
      <c r="E11" s="87" t="s">
        <v>1810</v>
      </c>
      <c r="F11" s="154">
        <v>0.70199999999999996</v>
      </c>
      <c r="G11" s="155">
        <v>1</v>
      </c>
      <c r="H11" s="156">
        <v>6.56</v>
      </c>
      <c r="I11" s="155">
        <v>0</v>
      </c>
      <c r="J11" s="157">
        <f>TRUNC(H11+(H11*$C$22),2)</f>
        <v>16.88</v>
      </c>
      <c r="K11" s="195" t="s">
        <v>2377</v>
      </c>
      <c r="L11" s="158">
        <f>TRUNC(SUM(F11*J11),3)</f>
        <v>11.849</v>
      </c>
    </row>
    <row r="12" spans="2:14">
      <c r="B12" s="159"/>
      <c r="C12" s="160"/>
      <c r="D12" s="160"/>
      <c r="E12" s="160"/>
      <c r="F12" s="161"/>
      <c r="G12" s="161"/>
      <c r="H12" s="161"/>
      <c r="I12" s="161"/>
      <c r="J12" s="196"/>
      <c r="K12" s="163" t="s">
        <v>2255</v>
      </c>
      <c r="L12" s="164">
        <f>TRUNC(SUM(L10:L11),2)</f>
        <v>48.66</v>
      </c>
      <c r="N12" s="165"/>
    </row>
    <row r="13" spans="2:14" ht="14.45" customHeight="1">
      <c r="B13" s="394" t="s">
        <v>2272</v>
      </c>
      <c r="C13" s="394"/>
      <c r="D13" s="394"/>
      <c r="E13" s="394"/>
      <c r="F13" s="394"/>
      <c r="G13" s="394"/>
      <c r="H13" s="394"/>
      <c r="I13" s="394"/>
      <c r="J13" s="394"/>
      <c r="K13" s="394"/>
      <c r="L13" s="394"/>
    </row>
    <row r="14" spans="2:14" ht="15">
      <c r="B14" s="153" t="s">
        <v>2273</v>
      </c>
      <c r="C14" s="87" t="s">
        <v>38</v>
      </c>
      <c r="D14" s="87" t="s">
        <v>2275</v>
      </c>
      <c r="E14" s="87" t="s">
        <v>1810</v>
      </c>
      <c r="F14" s="154">
        <v>7.7999999999999996E-3</v>
      </c>
      <c r="G14" s="155">
        <v>1</v>
      </c>
      <c r="H14" s="156">
        <v>126.67</v>
      </c>
      <c r="I14" s="155">
        <v>0</v>
      </c>
      <c r="J14" s="157">
        <f>H14</f>
        <v>126.67</v>
      </c>
      <c r="K14" s="195"/>
      <c r="L14" s="158">
        <f>TRUNC(SUM(F14*J14),2)</f>
        <v>0.98</v>
      </c>
    </row>
    <row r="15" spans="2:14" ht="45">
      <c r="B15" s="153" t="s">
        <v>2386</v>
      </c>
      <c r="C15" s="87" t="s">
        <v>25</v>
      </c>
      <c r="D15" s="87" t="s">
        <v>2387</v>
      </c>
      <c r="E15" s="87" t="s">
        <v>1810</v>
      </c>
      <c r="F15" s="154">
        <v>0.5</v>
      </c>
      <c r="G15" s="155">
        <v>1</v>
      </c>
      <c r="H15" s="156">
        <v>553.63</v>
      </c>
      <c r="I15" s="155">
        <v>0</v>
      </c>
      <c r="J15" s="157">
        <f>H15</f>
        <v>553.63</v>
      </c>
      <c r="K15" s="195" t="s">
        <v>2379</v>
      </c>
      <c r="L15" s="158">
        <f>TRUNC(SUM(F15*J15)*1.512,2)</f>
        <v>418.54</v>
      </c>
    </row>
    <row r="16" spans="2:14" ht="30">
      <c r="B16" s="153" t="s">
        <v>2278</v>
      </c>
      <c r="C16" s="87" t="s">
        <v>1741</v>
      </c>
      <c r="D16" s="87" t="s">
        <v>2388</v>
      </c>
      <c r="E16" s="87" t="s">
        <v>1810</v>
      </c>
      <c r="F16" s="154">
        <v>2.1869999999999998</v>
      </c>
      <c r="G16" s="155">
        <v>1</v>
      </c>
      <c r="H16" s="156">
        <v>0.59</v>
      </c>
      <c r="I16" s="155">
        <v>0</v>
      </c>
      <c r="J16" s="157">
        <f>H16</f>
        <v>0.59</v>
      </c>
      <c r="K16" s="195"/>
      <c r="L16" s="158">
        <f>TRUNC(SUM(F16*J16))</f>
        <v>1</v>
      </c>
    </row>
    <row r="17" spans="2:14" ht="45">
      <c r="B17" s="153" t="s">
        <v>2389</v>
      </c>
      <c r="C17" s="87" t="s">
        <v>48</v>
      </c>
      <c r="D17" s="87" t="s">
        <v>2390</v>
      </c>
      <c r="E17" s="87" t="s">
        <v>1810</v>
      </c>
      <c r="F17" s="154">
        <v>7.8</v>
      </c>
      <c r="G17" s="155">
        <v>1</v>
      </c>
      <c r="H17" s="156">
        <v>1.92</v>
      </c>
      <c r="I17" s="155">
        <v>0</v>
      </c>
      <c r="J17" s="157">
        <f>H17</f>
        <v>1.92</v>
      </c>
      <c r="K17" s="195"/>
      <c r="L17" s="158">
        <f>TRUNC(SUM(F17*J17))</f>
        <v>14</v>
      </c>
    </row>
    <row r="18" spans="2:14">
      <c r="B18" s="166"/>
      <c r="C18" s="167"/>
      <c r="D18" s="167"/>
      <c r="E18" s="167"/>
      <c r="F18" s="167"/>
      <c r="G18" s="167"/>
      <c r="H18" s="167"/>
      <c r="I18" s="167"/>
      <c r="J18" s="196"/>
      <c r="K18" s="169" t="s">
        <v>2255</v>
      </c>
      <c r="L18" s="170">
        <f>TRUNC(SUM(L14:L17),2)</f>
        <v>434.52</v>
      </c>
    </row>
    <row r="19" spans="2:14">
      <c r="B19" s="171"/>
      <c r="C19" s="172"/>
      <c r="D19" s="172"/>
      <c r="E19" s="172"/>
      <c r="F19" s="172"/>
      <c r="G19" s="172"/>
      <c r="H19" s="172"/>
      <c r="I19" s="172"/>
      <c r="J19" s="172"/>
      <c r="K19" s="172"/>
      <c r="L19" s="173"/>
    </row>
    <row r="20" spans="2:14">
      <c r="B20" s="175" t="s">
        <v>2310</v>
      </c>
      <c r="C20" s="176"/>
      <c r="D20" s="177"/>
      <c r="E20" s="172"/>
      <c r="F20" s="172"/>
      <c r="G20" s="172"/>
      <c r="H20" s="172"/>
      <c r="I20" s="172"/>
      <c r="J20" s="172"/>
      <c r="K20" s="172"/>
      <c r="L20" s="173"/>
    </row>
    <row r="21" spans="2:14">
      <c r="B21" s="178" t="s">
        <v>2311</v>
      </c>
      <c r="C21" s="179" t="s">
        <v>2312</v>
      </c>
      <c r="D21" s="180" t="s">
        <v>2313</v>
      </c>
      <c r="E21" s="181"/>
      <c r="F21" s="172"/>
      <c r="G21" s="172"/>
      <c r="H21" s="172"/>
      <c r="I21" s="172"/>
      <c r="J21" s="172"/>
      <c r="K21" s="172"/>
      <c r="L21" s="173"/>
    </row>
    <row r="22" spans="2:14">
      <c r="B22" s="182" t="s">
        <v>2314</v>
      </c>
      <c r="C22" s="183">
        <v>1.5737000000000001</v>
      </c>
      <c r="D22" s="184">
        <f>L12</f>
        <v>48.66</v>
      </c>
      <c r="E22" s="185"/>
      <c r="F22" s="172"/>
      <c r="G22" s="172"/>
      <c r="H22" s="172"/>
      <c r="I22" s="172"/>
      <c r="J22" s="172"/>
      <c r="K22" s="172"/>
      <c r="L22" s="173"/>
    </row>
    <row r="23" spans="2:14">
      <c r="B23" s="182" t="s">
        <v>2315</v>
      </c>
      <c r="C23" s="186"/>
      <c r="D23" s="184">
        <f>L18</f>
        <v>434.52</v>
      </c>
      <c r="E23" s="185"/>
      <c r="F23" s="172"/>
      <c r="G23" s="172"/>
      <c r="H23" s="172"/>
      <c r="I23" s="172"/>
      <c r="J23" s="172"/>
      <c r="K23" s="172"/>
      <c r="L23" s="173"/>
    </row>
    <row r="24" spans="2:14">
      <c r="B24" s="182" t="s">
        <v>2316</v>
      </c>
      <c r="C24" s="186"/>
      <c r="D24" s="184">
        <v>0</v>
      </c>
      <c r="E24" s="185"/>
      <c r="F24" s="172"/>
      <c r="G24" s="172"/>
      <c r="H24" s="172"/>
      <c r="I24" s="172"/>
      <c r="J24" s="172"/>
      <c r="K24" s="172"/>
      <c r="L24" s="173"/>
    </row>
    <row r="25" spans="2:14">
      <c r="B25" s="182" t="s">
        <v>2317</v>
      </c>
      <c r="C25" s="186"/>
      <c r="D25" s="184">
        <v>1</v>
      </c>
      <c r="E25" s="185"/>
      <c r="F25" s="172"/>
      <c r="G25" s="172"/>
      <c r="H25" s="172"/>
      <c r="I25" s="172"/>
      <c r="J25" s="172"/>
      <c r="K25" s="172"/>
      <c r="L25" s="173"/>
    </row>
    <row r="26" spans="2:14">
      <c r="B26" s="182" t="s">
        <v>2318</v>
      </c>
      <c r="C26" s="186"/>
      <c r="D26" s="184">
        <f>D22+D24</f>
        <v>48.66</v>
      </c>
      <c r="E26" s="185"/>
      <c r="F26" s="172"/>
      <c r="G26" s="172"/>
      <c r="H26" s="187"/>
      <c r="I26" s="172"/>
      <c r="J26" s="172"/>
      <c r="K26" s="172"/>
      <c r="L26" s="173"/>
    </row>
    <row r="27" spans="2:14" ht="25.5">
      <c r="B27" s="188" t="s">
        <v>2319</v>
      </c>
      <c r="C27" s="186"/>
      <c r="D27" s="184">
        <f>(D22+D24)/D25</f>
        <v>48.66</v>
      </c>
      <c r="E27" s="185"/>
      <c r="F27" s="172"/>
      <c r="G27" s="172"/>
      <c r="H27" s="172"/>
      <c r="I27" s="172"/>
      <c r="J27" s="172"/>
      <c r="K27" s="172"/>
      <c r="L27" s="173"/>
    </row>
    <row r="28" spans="2:14" ht="14.45" customHeight="1">
      <c r="B28" s="182" t="s">
        <v>2320</v>
      </c>
      <c r="C28" s="186"/>
      <c r="D28" s="184">
        <f>D23+D27</f>
        <v>483.17999999999995</v>
      </c>
      <c r="E28" s="185"/>
      <c r="F28" s="172"/>
      <c r="G28" s="172"/>
      <c r="H28" s="172"/>
      <c r="I28" s="172"/>
      <c r="J28" s="172"/>
      <c r="K28" s="172"/>
      <c r="L28" s="173"/>
    </row>
    <row r="29" spans="2:14">
      <c r="B29" s="189" t="s">
        <v>2321</v>
      </c>
      <c r="C29" s="183">
        <v>0</v>
      </c>
      <c r="D29" s="190">
        <f>(D28)*C29</f>
        <v>0</v>
      </c>
      <c r="E29" s="185"/>
      <c r="F29" s="172"/>
      <c r="G29" s="172"/>
      <c r="H29" s="172"/>
      <c r="I29" s="172"/>
      <c r="J29" s="172"/>
      <c r="K29" s="172"/>
      <c r="L29" s="173"/>
      <c r="N29" s="165"/>
    </row>
    <row r="30" spans="2:14" ht="15">
      <c r="B30" s="191" t="s">
        <v>2322</v>
      </c>
      <c r="C30" s="395">
        <f>D28+D29</f>
        <v>483.17999999999995</v>
      </c>
      <c r="D30" s="395"/>
      <c r="E30" s="192"/>
      <c r="F30" s="193"/>
      <c r="G30" s="193"/>
      <c r="H30" s="193"/>
      <c r="I30" s="193"/>
      <c r="J30" s="193"/>
      <c r="K30" s="193"/>
      <c r="L30" s="194"/>
    </row>
  </sheetData>
  <mergeCells count="18">
    <mergeCell ref="B9:L9"/>
    <mergeCell ref="B13:L13"/>
    <mergeCell ref="C30:D30"/>
    <mergeCell ref="H7:H8"/>
    <mergeCell ref="I7:I8"/>
    <mergeCell ref="J7:J8"/>
    <mergeCell ref="K7:K8"/>
    <mergeCell ref="L7:L8"/>
    <mergeCell ref="B7:B8"/>
    <mergeCell ref="C7:C8"/>
    <mergeCell ref="D7:D8"/>
    <mergeCell ref="E7:E8"/>
    <mergeCell ref="F7:G7"/>
    <mergeCell ref="B2:L2"/>
    <mergeCell ref="C3:L3"/>
    <mergeCell ref="C4:L4"/>
    <mergeCell ref="C5:L5"/>
    <mergeCell ref="C6:L6"/>
  </mergeCells>
  <pageMargins left="0.51180555555555596" right="0.51180555555555596" top="1.3472222222222201" bottom="0.78749999999999998" header="0.511811023622047" footer="0.511811023622047"/>
  <pageSetup scale="55"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N28"/>
  <sheetViews>
    <sheetView view="pageBreakPreview" zoomScaleNormal="100" workbookViewId="0">
      <selection activeCell="K10" sqref="K10"/>
    </sheetView>
  </sheetViews>
  <sheetFormatPr defaultColWidth="8.85546875" defaultRowHeight="12.75"/>
  <cols>
    <col min="1" max="1" width="8.85546875" style="148"/>
    <col min="2" max="2" width="30.28515625" style="148" customWidth="1"/>
    <col min="3" max="11" width="12.28515625" style="148" customWidth="1"/>
    <col min="12" max="12" width="13.5703125" style="148" customWidth="1"/>
    <col min="13" max="13" width="8.85546875" style="148"/>
    <col min="14" max="14" width="14.28515625" style="148" customWidth="1"/>
    <col min="15" max="16384" width="8.85546875" style="148"/>
  </cols>
  <sheetData>
    <row r="2" spans="2:14" ht="22.35" customHeight="1">
      <c r="B2" s="389" t="s">
        <v>2245</v>
      </c>
      <c r="C2" s="389"/>
      <c r="D2" s="389"/>
      <c r="E2" s="389"/>
      <c r="F2" s="389"/>
      <c r="G2" s="389"/>
      <c r="H2" s="389"/>
      <c r="I2" s="389"/>
      <c r="J2" s="389"/>
      <c r="K2" s="389"/>
      <c r="L2" s="389"/>
    </row>
    <row r="3" spans="2:14" ht="14.85" customHeight="1">
      <c r="B3" s="149" t="s">
        <v>2246</v>
      </c>
      <c r="C3" s="390" t="s">
        <v>2247</v>
      </c>
      <c r="D3" s="390"/>
      <c r="E3" s="390"/>
      <c r="F3" s="390"/>
      <c r="G3" s="390"/>
      <c r="H3" s="390"/>
      <c r="I3" s="390"/>
      <c r="J3" s="390"/>
      <c r="K3" s="390"/>
      <c r="L3" s="390"/>
    </row>
    <row r="4" spans="2:14" ht="15.75">
      <c r="B4" s="150" t="s">
        <v>8</v>
      </c>
      <c r="C4" s="391">
        <v>10</v>
      </c>
      <c r="D4" s="391"/>
      <c r="E4" s="391"/>
      <c r="F4" s="391"/>
      <c r="G4" s="391"/>
      <c r="H4" s="391"/>
      <c r="I4" s="391"/>
      <c r="J4" s="391"/>
      <c r="K4" s="391"/>
      <c r="L4" s="391"/>
    </row>
    <row r="5" spans="2:14" ht="33.6" customHeight="1">
      <c r="B5" s="150" t="s">
        <v>10</v>
      </c>
      <c r="C5" s="392" t="s">
        <v>1878</v>
      </c>
      <c r="D5" s="392"/>
      <c r="E5" s="392"/>
      <c r="F5" s="392"/>
      <c r="G5" s="392"/>
      <c r="H5" s="392"/>
      <c r="I5" s="392"/>
      <c r="J5" s="392"/>
      <c r="K5" s="392"/>
      <c r="L5" s="392"/>
    </row>
    <row r="6" spans="2:14" ht="14.45" customHeight="1">
      <c r="B6" s="151" t="s">
        <v>2248</v>
      </c>
      <c r="C6" s="393" t="s">
        <v>25</v>
      </c>
      <c r="D6" s="393"/>
      <c r="E6" s="393"/>
      <c r="F6" s="393"/>
      <c r="G6" s="393"/>
      <c r="H6" s="393"/>
      <c r="I6" s="393"/>
      <c r="J6" s="393"/>
      <c r="K6" s="393"/>
      <c r="L6" s="393"/>
    </row>
    <row r="7" spans="2:14" ht="13.15" customHeight="1">
      <c r="B7" s="398" t="s">
        <v>2249</v>
      </c>
      <c r="C7" s="399" t="s">
        <v>2250</v>
      </c>
      <c r="D7" s="399" t="s">
        <v>1955</v>
      </c>
      <c r="E7" s="399" t="s">
        <v>2251</v>
      </c>
      <c r="F7" s="400"/>
      <c r="G7" s="400"/>
      <c r="H7" s="396" t="s">
        <v>2252</v>
      </c>
      <c r="I7" s="396" t="s">
        <v>2253</v>
      </c>
      <c r="J7" s="396" t="s">
        <v>2254</v>
      </c>
      <c r="K7" s="396" t="s">
        <v>2376</v>
      </c>
      <c r="L7" s="397" t="s">
        <v>2255</v>
      </c>
    </row>
    <row r="8" spans="2:14">
      <c r="B8" s="398"/>
      <c r="C8" s="399"/>
      <c r="D8" s="399"/>
      <c r="E8" s="399"/>
      <c r="F8" s="152" t="s">
        <v>2256</v>
      </c>
      <c r="G8" s="152" t="s">
        <v>2257</v>
      </c>
      <c r="H8" s="396"/>
      <c r="I8" s="396"/>
      <c r="J8" s="396"/>
      <c r="K8" s="396"/>
      <c r="L8" s="397"/>
    </row>
    <row r="9" spans="2:14" ht="14.45" customHeight="1">
      <c r="B9" s="394" t="s">
        <v>2258</v>
      </c>
      <c r="C9" s="394"/>
      <c r="D9" s="394"/>
      <c r="E9" s="394"/>
      <c r="F9" s="394"/>
      <c r="G9" s="394"/>
      <c r="H9" s="394"/>
      <c r="I9" s="394"/>
      <c r="J9" s="394"/>
      <c r="K9" s="394"/>
      <c r="L9" s="394"/>
    </row>
    <row r="10" spans="2:14" ht="30">
      <c r="B10" s="153" t="s">
        <v>2266</v>
      </c>
      <c r="C10" s="87" t="s">
        <v>2260</v>
      </c>
      <c r="D10" s="87" t="s">
        <v>2336</v>
      </c>
      <c r="E10" s="87" t="s">
        <v>1810</v>
      </c>
      <c r="F10" s="154">
        <v>0.8</v>
      </c>
      <c r="G10" s="155">
        <v>1</v>
      </c>
      <c r="H10" s="156">
        <v>8.84</v>
      </c>
      <c r="I10" s="155">
        <v>0</v>
      </c>
      <c r="J10" s="157">
        <f>TRUNC(H10+(H10*$C$20),2)</f>
        <v>22.75</v>
      </c>
      <c r="K10" s="195" t="s">
        <v>2377</v>
      </c>
      <c r="L10" s="158">
        <f>TRUNC(SUM(F10*J10),3)</f>
        <v>18.2</v>
      </c>
    </row>
    <row r="11" spans="2:14" ht="30">
      <c r="B11" s="153" t="s">
        <v>2270</v>
      </c>
      <c r="C11" s="87" t="s">
        <v>2260</v>
      </c>
      <c r="D11" s="87" t="s">
        <v>2337</v>
      </c>
      <c r="E11" s="87" t="s">
        <v>1810</v>
      </c>
      <c r="F11" s="154">
        <v>0.8</v>
      </c>
      <c r="G11" s="155">
        <v>1</v>
      </c>
      <c r="H11" s="156">
        <v>6.56</v>
      </c>
      <c r="I11" s="155">
        <v>0</v>
      </c>
      <c r="J11" s="157">
        <f>TRUNC(H11+(H11*$C$20),2)</f>
        <v>16.88</v>
      </c>
      <c r="K11" s="195" t="s">
        <v>2377</v>
      </c>
      <c r="L11" s="158">
        <f>TRUNC(SUM(F11*J11),3)</f>
        <v>13.504</v>
      </c>
    </row>
    <row r="12" spans="2:14">
      <c r="B12" s="159"/>
      <c r="C12" s="160"/>
      <c r="D12" s="160"/>
      <c r="E12" s="160"/>
      <c r="F12" s="161"/>
      <c r="G12" s="161"/>
      <c r="H12" s="161"/>
      <c r="I12" s="161"/>
      <c r="J12" s="196"/>
      <c r="K12" s="163" t="s">
        <v>2255</v>
      </c>
      <c r="L12" s="164">
        <f>TRUNC(SUM(L10:L11),2)</f>
        <v>31.7</v>
      </c>
      <c r="N12" s="165"/>
    </row>
    <row r="13" spans="2:14" ht="14.45" customHeight="1">
      <c r="B13" s="394" t="s">
        <v>2272</v>
      </c>
      <c r="C13" s="394"/>
      <c r="D13" s="394"/>
      <c r="E13" s="394"/>
      <c r="F13" s="394"/>
      <c r="G13" s="394"/>
      <c r="H13" s="394"/>
      <c r="I13" s="394"/>
      <c r="J13" s="394"/>
      <c r="K13" s="394"/>
      <c r="L13" s="394"/>
    </row>
    <row r="14" spans="2:14" ht="45">
      <c r="B14" s="153" t="s">
        <v>2391</v>
      </c>
      <c r="C14" s="87" t="s">
        <v>1741</v>
      </c>
      <c r="D14" s="87" t="s">
        <v>2392</v>
      </c>
      <c r="E14" s="87" t="s">
        <v>1810</v>
      </c>
      <c r="F14" s="154">
        <v>7.25</v>
      </c>
      <c r="G14" s="155">
        <v>1</v>
      </c>
      <c r="H14" s="156">
        <v>2.33</v>
      </c>
      <c r="I14" s="155">
        <v>0</v>
      </c>
      <c r="J14" s="157">
        <f>H14</f>
        <v>2.33</v>
      </c>
      <c r="K14" s="195"/>
      <c r="L14" s="158">
        <f>TRUNC(SUM(F14*J14),2)</f>
        <v>16.89</v>
      </c>
    </row>
    <row r="15" spans="2:14" ht="30">
      <c r="B15" s="153" t="s">
        <v>2393</v>
      </c>
      <c r="C15" s="87" t="s">
        <v>25</v>
      </c>
      <c r="D15" s="87" t="s">
        <v>2394</v>
      </c>
      <c r="E15" s="87" t="s">
        <v>1810</v>
      </c>
      <c r="F15" s="154">
        <v>1.05</v>
      </c>
      <c r="G15" s="155">
        <v>1</v>
      </c>
      <c r="H15" s="156">
        <v>384.57</v>
      </c>
      <c r="I15" s="155">
        <v>0</v>
      </c>
      <c r="J15" s="157">
        <f>H15</f>
        <v>384.57</v>
      </c>
      <c r="K15" s="195"/>
      <c r="L15" s="158">
        <f>TRUNC(SUM(F15*J15),2)</f>
        <v>403.79</v>
      </c>
    </row>
    <row r="16" spans="2:14">
      <c r="B16" s="166"/>
      <c r="C16" s="167"/>
      <c r="D16" s="167"/>
      <c r="E16" s="167"/>
      <c r="F16" s="167"/>
      <c r="G16" s="167"/>
      <c r="H16" s="167"/>
      <c r="I16" s="167"/>
      <c r="J16" s="196"/>
      <c r="K16" s="169" t="s">
        <v>2255</v>
      </c>
      <c r="L16" s="170">
        <f>TRUNC(SUM(L14:L15),2)</f>
        <v>420.68</v>
      </c>
    </row>
    <row r="17" spans="2:14">
      <c r="B17" s="171"/>
      <c r="C17" s="172"/>
      <c r="D17" s="172"/>
      <c r="E17" s="172"/>
      <c r="F17" s="172"/>
      <c r="G17" s="172"/>
      <c r="H17" s="172"/>
      <c r="I17" s="172"/>
      <c r="J17" s="172"/>
      <c r="K17" s="172"/>
      <c r="L17" s="173"/>
    </row>
    <row r="18" spans="2:14">
      <c r="B18" s="175" t="s">
        <v>2310</v>
      </c>
      <c r="C18" s="176"/>
      <c r="D18" s="177"/>
      <c r="E18" s="172"/>
      <c r="F18" s="172"/>
      <c r="G18" s="172"/>
      <c r="H18" s="172"/>
      <c r="I18" s="172"/>
      <c r="J18" s="172"/>
      <c r="K18" s="172"/>
      <c r="L18" s="173"/>
    </row>
    <row r="19" spans="2:14">
      <c r="B19" s="178" t="s">
        <v>2311</v>
      </c>
      <c r="C19" s="179" t="s">
        <v>2312</v>
      </c>
      <c r="D19" s="180" t="s">
        <v>2313</v>
      </c>
      <c r="E19" s="181"/>
      <c r="F19" s="172"/>
      <c r="G19" s="172"/>
      <c r="H19" s="172"/>
      <c r="I19" s="172"/>
      <c r="J19" s="172"/>
      <c r="K19" s="172"/>
      <c r="L19" s="173"/>
    </row>
    <row r="20" spans="2:14">
      <c r="B20" s="182" t="s">
        <v>2314</v>
      </c>
      <c r="C20" s="183">
        <v>1.5737000000000001</v>
      </c>
      <c r="D20" s="184">
        <f>L12</f>
        <v>31.7</v>
      </c>
      <c r="E20" s="185"/>
      <c r="F20" s="172"/>
      <c r="G20" s="172"/>
      <c r="H20" s="172"/>
      <c r="I20" s="172"/>
      <c r="J20" s="172"/>
      <c r="K20" s="172"/>
      <c r="L20" s="173"/>
    </row>
    <row r="21" spans="2:14">
      <c r="B21" s="182" t="s">
        <v>2315</v>
      </c>
      <c r="C21" s="186"/>
      <c r="D21" s="184">
        <f>L16</f>
        <v>420.68</v>
      </c>
      <c r="E21" s="185"/>
      <c r="F21" s="172"/>
      <c r="G21" s="172"/>
      <c r="H21" s="172"/>
      <c r="I21" s="172"/>
      <c r="J21" s="172"/>
      <c r="K21" s="172"/>
      <c r="L21" s="173"/>
    </row>
    <row r="22" spans="2:14">
      <c r="B22" s="182" t="s">
        <v>2316</v>
      </c>
      <c r="C22" s="186"/>
      <c r="D22" s="184">
        <v>0</v>
      </c>
      <c r="E22" s="185"/>
      <c r="F22" s="172"/>
      <c r="G22" s="172"/>
      <c r="H22" s="172"/>
      <c r="I22" s="172"/>
      <c r="J22" s="172"/>
      <c r="K22" s="172"/>
      <c r="L22" s="173"/>
    </row>
    <row r="23" spans="2:14">
      <c r="B23" s="182" t="s">
        <v>2317</v>
      </c>
      <c r="C23" s="186"/>
      <c r="D23" s="184">
        <v>1</v>
      </c>
      <c r="E23" s="185"/>
      <c r="F23" s="172"/>
      <c r="G23" s="172"/>
      <c r="H23" s="172"/>
      <c r="I23" s="172"/>
      <c r="J23" s="172"/>
      <c r="K23" s="172"/>
      <c r="L23" s="173"/>
    </row>
    <row r="24" spans="2:14">
      <c r="B24" s="182" t="s">
        <v>2318</v>
      </c>
      <c r="C24" s="186"/>
      <c r="D24" s="184">
        <f>D20+D22</f>
        <v>31.7</v>
      </c>
      <c r="E24" s="185"/>
      <c r="F24" s="172"/>
      <c r="G24" s="172"/>
      <c r="H24" s="187"/>
      <c r="I24" s="172"/>
      <c r="J24" s="172"/>
      <c r="K24" s="172"/>
      <c r="L24" s="173"/>
    </row>
    <row r="25" spans="2:14" ht="25.5">
      <c r="B25" s="188" t="s">
        <v>2319</v>
      </c>
      <c r="C25" s="186"/>
      <c r="D25" s="184">
        <f>(D20+D22)/D23</f>
        <v>31.7</v>
      </c>
      <c r="E25" s="185"/>
      <c r="F25" s="172"/>
      <c r="G25" s="172"/>
      <c r="H25" s="172"/>
      <c r="I25" s="172"/>
      <c r="J25" s="172"/>
      <c r="K25" s="172"/>
      <c r="L25" s="173"/>
    </row>
    <row r="26" spans="2:14" ht="14.45" customHeight="1">
      <c r="B26" s="182" t="s">
        <v>2320</v>
      </c>
      <c r="C26" s="186"/>
      <c r="D26" s="184">
        <f>D21+D25</f>
        <v>452.38</v>
      </c>
      <c r="E26" s="185"/>
      <c r="F26" s="172"/>
      <c r="G26" s="172"/>
      <c r="H26" s="172"/>
      <c r="I26" s="172"/>
      <c r="J26" s="172"/>
      <c r="K26" s="172"/>
      <c r="L26" s="173"/>
    </row>
    <row r="27" spans="2:14">
      <c r="B27" s="189" t="s">
        <v>2321</v>
      </c>
      <c r="C27" s="183">
        <v>0</v>
      </c>
      <c r="D27" s="190">
        <f>(D26)*C27</f>
        <v>0</v>
      </c>
      <c r="E27" s="185"/>
      <c r="F27" s="172"/>
      <c r="G27" s="172"/>
      <c r="H27" s="172"/>
      <c r="I27" s="172"/>
      <c r="J27" s="172"/>
      <c r="K27" s="172"/>
      <c r="L27" s="173"/>
      <c r="N27" s="165"/>
    </row>
    <row r="28" spans="2:14" ht="15">
      <c r="B28" s="191" t="s">
        <v>2322</v>
      </c>
      <c r="C28" s="395">
        <f>D26+D27</f>
        <v>452.38</v>
      </c>
      <c r="D28" s="395"/>
      <c r="E28" s="192"/>
      <c r="F28" s="193"/>
      <c r="G28" s="193"/>
      <c r="H28" s="193"/>
      <c r="I28" s="193"/>
      <c r="J28" s="193"/>
      <c r="K28" s="193"/>
      <c r="L28" s="194"/>
    </row>
  </sheetData>
  <mergeCells count="18">
    <mergeCell ref="B9:L9"/>
    <mergeCell ref="B13:L13"/>
    <mergeCell ref="C28:D28"/>
    <mergeCell ref="H7:H8"/>
    <mergeCell ref="I7:I8"/>
    <mergeCell ref="J7:J8"/>
    <mergeCell ref="K7:K8"/>
    <mergeCell ref="L7:L8"/>
    <mergeCell ref="B7:B8"/>
    <mergeCell ref="C7:C8"/>
    <mergeCell ref="D7:D8"/>
    <mergeCell ref="E7:E8"/>
    <mergeCell ref="F7:G7"/>
    <mergeCell ref="B2:L2"/>
    <mergeCell ref="C3:L3"/>
    <mergeCell ref="C4:L4"/>
    <mergeCell ref="C5:L5"/>
    <mergeCell ref="C6:L6"/>
  </mergeCells>
  <pageMargins left="0.51180555555555596" right="0.51180555555555596" top="1.3472222222222201" bottom="0.78749999999999998" header="0.511811023622047" footer="0.511811023622047"/>
  <pageSetup scale="55"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N28"/>
  <sheetViews>
    <sheetView view="pageBreakPreview" zoomScaleNormal="100" workbookViewId="0">
      <selection activeCell="K10" sqref="K10"/>
    </sheetView>
  </sheetViews>
  <sheetFormatPr defaultColWidth="8.85546875" defaultRowHeight="12.75"/>
  <cols>
    <col min="1" max="1" width="8.85546875" style="148"/>
    <col min="2" max="2" width="30.28515625" style="148" customWidth="1"/>
    <col min="3" max="11" width="12.28515625" style="148" customWidth="1"/>
    <col min="12" max="12" width="13.5703125" style="148" customWidth="1"/>
    <col min="13" max="13" width="8.85546875" style="148"/>
    <col min="14" max="14" width="14.28515625" style="148" customWidth="1"/>
    <col min="15" max="16384" width="8.85546875" style="148"/>
  </cols>
  <sheetData>
    <row r="2" spans="2:14" ht="22.35" customHeight="1">
      <c r="B2" s="389" t="s">
        <v>2245</v>
      </c>
      <c r="C2" s="389"/>
      <c r="D2" s="389"/>
      <c r="E2" s="389"/>
      <c r="F2" s="389"/>
      <c r="G2" s="389"/>
      <c r="H2" s="389"/>
      <c r="I2" s="389"/>
      <c r="J2" s="389"/>
      <c r="K2" s="389"/>
      <c r="L2" s="389"/>
    </row>
    <row r="3" spans="2:14" ht="14.85" customHeight="1">
      <c r="B3" s="149" t="s">
        <v>2246</v>
      </c>
      <c r="C3" s="390" t="s">
        <v>2247</v>
      </c>
      <c r="D3" s="390"/>
      <c r="E3" s="390"/>
      <c r="F3" s="390"/>
      <c r="G3" s="390"/>
      <c r="H3" s="390"/>
      <c r="I3" s="390"/>
      <c r="J3" s="390"/>
      <c r="K3" s="390"/>
      <c r="L3" s="390"/>
    </row>
    <row r="4" spans="2:14" ht="15.75">
      <c r="B4" s="150" t="s">
        <v>8</v>
      </c>
      <c r="C4" s="391">
        <v>11</v>
      </c>
      <c r="D4" s="391"/>
      <c r="E4" s="391"/>
      <c r="F4" s="391"/>
      <c r="G4" s="391"/>
      <c r="H4" s="391"/>
      <c r="I4" s="391"/>
      <c r="J4" s="391"/>
      <c r="K4" s="391"/>
      <c r="L4" s="391"/>
    </row>
    <row r="5" spans="2:14" ht="33.6" customHeight="1">
      <c r="B5" s="150" t="s">
        <v>10</v>
      </c>
      <c r="C5" s="392" t="s">
        <v>2395</v>
      </c>
      <c r="D5" s="392"/>
      <c r="E5" s="392"/>
      <c r="F5" s="392"/>
      <c r="G5" s="392"/>
      <c r="H5" s="392"/>
      <c r="I5" s="392"/>
      <c r="J5" s="392"/>
      <c r="K5" s="392"/>
      <c r="L5" s="392"/>
    </row>
    <row r="6" spans="2:14" ht="14.45" customHeight="1">
      <c r="B6" s="151" t="s">
        <v>2248</v>
      </c>
      <c r="C6" s="393" t="s">
        <v>25</v>
      </c>
      <c r="D6" s="393"/>
      <c r="E6" s="393"/>
      <c r="F6" s="393"/>
      <c r="G6" s="393"/>
      <c r="H6" s="393"/>
      <c r="I6" s="393"/>
      <c r="J6" s="393"/>
      <c r="K6" s="393"/>
      <c r="L6" s="393"/>
    </row>
    <row r="7" spans="2:14" ht="13.15" customHeight="1">
      <c r="B7" s="398" t="s">
        <v>2249</v>
      </c>
      <c r="C7" s="399" t="s">
        <v>2250</v>
      </c>
      <c r="D7" s="399" t="s">
        <v>1955</v>
      </c>
      <c r="E7" s="399" t="s">
        <v>2251</v>
      </c>
      <c r="F7" s="400"/>
      <c r="G7" s="400"/>
      <c r="H7" s="396" t="s">
        <v>2252</v>
      </c>
      <c r="I7" s="396" t="s">
        <v>2253</v>
      </c>
      <c r="J7" s="396" t="s">
        <v>2254</v>
      </c>
      <c r="K7" s="396" t="s">
        <v>2376</v>
      </c>
      <c r="L7" s="397" t="s">
        <v>2255</v>
      </c>
    </row>
    <row r="8" spans="2:14">
      <c r="B8" s="398"/>
      <c r="C8" s="399"/>
      <c r="D8" s="399"/>
      <c r="E8" s="399"/>
      <c r="F8" s="152" t="s">
        <v>2256</v>
      </c>
      <c r="G8" s="152" t="s">
        <v>2257</v>
      </c>
      <c r="H8" s="396"/>
      <c r="I8" s="396"/>
      <c r="J8" s="396"/>
      <c r="K8" s="396"/>
      <c r="L8" s="397"/>
    </row>
    <row r="9" spans="2:14" ht="14.45" customHeight="1">
      <c r="B9" s="394" t="s">
        <v>2258</v>
      </c>
      <c r="C9" s="394"/>
      <c r="D9" s="394"/>
      <c r="E9" s="394"/>
      <c r="F9" s="394"/>
      <c r="G9" s="394"/>
      <c r="H9" s="394"/>
      <c r="I9" s="394"/>
      <c r="J9" s="394"/>
      <c r="K9" s="394"/>
      <c r="L9" s="394"/>
    </row>
    <row r="10" spans="2:14" ht="30">
      <c r="B10" s="153" t="s">
        <v>2266</v>
      </c>
      <c r="C10" s="87" t="s">
        <v>2260</v>
      </c>
      <c r="D10" s="87" t="s">
        <v>2336</v>
      </c>
      <c r="E10" s="87" t="s">
        <v>1810</v>
      </c>
      <c r="F10" s="154">
        <v>0.8</v>
      </c>
      <c r="G10" s="155">
        <v>1</v>
      </c>
      <c r="H10" s="156">
        <v>8.84</v>
      </c>
      <c r="I10" s="155">
        <v>0</v>
      </c>
      <c r="J10" s="157">
        <f>TRUNC(H10+(H10*$C$20),2)</f>
        <v>22.75</v>
      </c>
      <c r="K10" s="195" t="s">
        <v>2377</v>
      </c>
      <c r="L10" s="158">
        <f>TRUNC(SUM(F10*J10),3)</f>
        <v>18.2</v>
      </c>
    </row>
    <row r="11" spans="2:14" ht="30">
      <c r="B11" s="153" t="s">
        <v>2270</v>
      </c>
      <c r="C11" s="87" t="s">
        <v>2260</v>
      </c>
      <c r="D11" s="87" t="s">
        <v>2337</v>
      </c>
      <c r="E11" s="87" t="s">
        <v>1810</v>
      </c>
      <c r="F11" s="154">
        <v>0.8</v>
      </c>
      <c r="G11" s="155">
        <v>1</v>
      </c>
      <c r="H11" s="156">
        <v>6.56</v>
      </c>
      <c r="I11" s="155">
        <v>0</v>
      </c>
      <c r="J11" s="157">
        <f>TRUNC(H11+(H11*$C$20),2)</f>
        <v>16.88</v>
      </c>
      <c r="K11" s="195" t="s">
        <v>2377</v>
      </c>
      <c r="L11" s="158">
        <f>TRUNC(SUM(F11*J11),3)</f>
        <v>13.504</v>
      </c>
    </row>
    <row r="12" spans="2:14">
      <c r="B12" s="159"/>
      <c r="C12" s="160"/>
      <c r="D12" s="160"/>
      <c r="E12" s="160"/>
      <c r="F12" s="161"/>
      <c r="G12" s="161"/>
      <c r="H12" s="161"/>
      <c r="I12" s="161"/>
      <c r="J12" s="196"/>
      <c r="K12" s="163" t="s">
        <v>2255</v>
      </c>
      <c r="L12" s="164">
        <f>TRUNC(SUM(L10:L11),2)</f>
        <v>31.7</v>
      </c>
      <c r="N12" s="165"/>
    </row>
    <row r="13" spans="2:14" ht="14.45" customHeight="1">
      <c r="B13" s="394" t="s">
        <v>2272</v>
      </c>
      <c r="C13" s="394"/>
      <c r="D13" s="394"/>
      <c r="E13" s="394"/>
      <c r="F13" s="394"/>
      <c r="G13" s="394"/>
      <c r="H13" s="394"/>
      <c r="I13" s="394"/>
      <c r="J13" s="394"/>
      <c r="K13" s="394"/>
      <c r="L13" s="394"/>
    </row>
    <row r="14" spans="2:14" ht="45">
      <c r="B14" s="153" t="s">
        <v>2391</v>
      </c>
      <c r="C14" s="87" t="s">
        <v>1741</v>
      </c>
      <c r="D14" s="87" t="s">
        <v>2392</v>
      </c>
      <c r="E14" s="87" t="s">
        <v>1810</v>
      </c>
      <c r="F14" s="154">
        <v>7.25</v>
      </c>
      <c r="G14" s="155">
        <v>1</v>
      </c>
      <c r="H14" s="156">
        <v>2.33</v>
      </c>
      <c r="I14" s="155">
        <v>0</v>
      </c>
      <c r="J14" s="157">
        <f>H14</f>
        <v>2.33</v>
      </c>
      <c r="K14" s="195"/>
      <c r="L14" s="158">
        <f>TRUNC(SUM(F14*J14),2)</f>
        <v>16.89</v>
      </c>
    </row>
    <row r="15" spans="2:14" ht="45">
      <c r="B15" s="153" t="s">
        <v>2396</v>
      </c>
      <c r="C15" s="87" t="s">
        <v>25</v>
      </c>
      <c r="D15" s="87">
        <v>101092</v>
      </c>
      <c r="E15" s="87" t="s">
        <v>133</v>
      </c>
      <c r="F15" s="154">
        <v>1.05</v>
      </c>
      <c r="G15" s="155">
        <v>1</v>
      </c>
      <c r="H15" s="156">
        <v>284.13</v>
      </c>
      <c r="I15" s="155">
        <v>0</v>
      </c>
      <c r="J15" s="157">
        <f>H15</f>
        <v>284.13</v>
      </c>
      <c r="K15" s="195"/>
      <c r="L15" s="158">
        <f>TRUNC(SUM(F15*J15),2)</f>
        <v>298.33</v>
      </c>
    </row>
    <row r="16" spans="2:14">
      <c r="B16" s="166"/>
      <c r="C16" s="167"/>
      <c r="D16" s="167"/>
      <c r="E16" s="167"/>
      <c r="F16" s="167"/>
      <c r="G16" s="167"/>
      <c r="H16" s="167"/>
      <c r="I16" s="167"/>
      <c r="J16" s="196"/>
      <c r="K16" s="169" t="s">
        <v>2255</v>
      </c>
      <c r="L16" s="170">
        <f>TRUNC(SUM(L14:L15),2)</f>
        <v>315.22000000000003</v>
      </c>
    </row>
    <row r="17" spans="2:14">
      <c r="B17" s="171"/>
      <c r="C17" s="172"/>
      <c r="D17" s="172"/>
      <c r="E17" s="172"/>
      <c r="F17" s="172"/>
      <c r="G17" s="172"/>
      <c r="H17" s="172"/>
      <c r="I17" s="172"/>
      <c r="J17" s="172"/>
      <c r="K17" s="172"/>
      <c r="L17" s="173"/>
    </row>
    <row r="18" spans="2:14">
      <c r="B18" s="175" t="s">
        <v>2310</v>
      </c>
      <c r="C18" s="176"/>
      <c r="D18" s="177"/>
      <c r="E18" s="172"/>
      <c r="F18" s="172"/>
      <c r="G18" s="172"/>
      <c r="H18" s="172"/>
      <c r="I18" s="172"/>
      <c r="J18" s="172"/>
      <c r="K18" s="172"/>
      <c r="L18" s="173"/>
    </row>
    <row r="19" spans="2:14">
      <c r="B19" s="178" t="s">
        <v>2311</v>
      </c>
      <c r="C19" s="179" t="s">
        <v>2312</v>
      </c>
      <c r="D19" s="180" t="s">
        <v>2313</v>
      </c>
      <c r="E19" s="181"/>
      <c r="F19" s="172"/>
      <c r="G19" s="172"/>
      <c r="H19" s="172"/>
      <c r="I19" s="172"/>
      <c r="J19" s="172"/>
      <c r="K19" s="172"/>
      <c r="L19" s="173"/>
    </row>
    <row r="20" spans="2:14">
      <c r="B20" s="182" t="s">
        <v>2314</v>
      </c>
      <c r="C20" s="183">
        <v>1.5737000000000001</v>
      </c>
      <c r="D20" s="184">
        <f>L12</f>
        <v>31.7</v>
      </c>
      <c r="E20" s="185"/>
      <c r="F20" s="172"/>
      <c r="G20" s="172"/>
      <c r="H20" s="172"/>
      <c r="I20" s="172"/>
      <c r="J20" s="172"/>
      <c r="K20" s="172"/>
      <c r="L20" s="173"/>
    </row>
    <row r="21" spans="2:14">
      <c r="B21" s="182" t="s">
        <v>2315</v>
      </c>
      <c r="C21" s="186"/>
      <c r="D21" s="184">
        <f>L16</f>
        <v>315.22000000000003</v>
      </c>
      <c r="E21" s="185"/>
      <c r="F21" s="172"/>
      <c r="G21" s="172"/>
      <c r="H21" s="172"/>
      <c r="I21" s="172"/>
      <c r="J21" s="172"/>
      <c r="K21" s="172"/>
      <c r="L21" s="173"/>
    </row>
    <row r="22" spans="2:14">
      <c r="B22" s="182" t="s">
        <v>2316</v>
      </c>
      <c r="C22" s="186"/>
      <c r="D22" s="184">
        <v>0</v>
      </c>
      <c r="E22" s="185"/>
      <c r="F22" s="172"/>
      <c r="G22" s="172"/>
      <c r="H22" s="172"/>
      <c r="I22" s="172"/>
      <c r="J22" s="172"/>
      <c r="K22" s="172"/>
      <c r="L22" s="173"/>
    </row>
    <row r="23" spans="2:14">
      <c r="B23" s="182" t="s">
        <v>2317</v>
      </c>
      <c r="C23" s="186"/>
      <c r="D23" s="184">
        <v>1</v>
      </c>
      <c r="E23" s="185"/>
      <c r="F23" s="172"/>
      <c r="G23" s="172"/>
      <c r="H23" s="172"/>
      <c r="I23" s="172"/>
      <c r="J23" s="172"/>
      <c r="K23" s="172"/>
      <c r="L23" s="173"/>
    </row>
    <row r="24" spans="2:14">
      <c r="B24" s="182" t="s">
        <v>2318</v>
      </c>
      <c r="C24" s="186"/>
      <c r="D24" s="184">
        <f>D20+D22</f>
        <v>31.7</v>
      </c>
      <c r="E24" s="185"/>
      <c r="F24" s="172"/>
      <c r="G24" s="172"/>
      <c r="H24" s="187"/>
      <c r="I24" s="172"/>
      <c r="J24" s="172"/>
      <c r="K24" s="172"/>
      <c r="L24" s="173"/>
    </row>
    <row r="25" spans="2:14" ht="25.5">
      <c r="B25" s="188" t="s">
        <v>2319</v>
      </c>
      <c r="C25" s="186"/>
      <c r="D25" s="184">
        <f>(D20+D22)/D23</f>
        <v>31.7</v>
      </c>
      <c r="E25" s="185"/>
      <c r="F25" s="172"/>
      <c r="G25" s="172"/>
      <c r="H25" s="172"/>
      <c r="I25" s="172"/>
      <c r="J25" s="172"/>
      <c r="K25" s="172"/>
      <c r="L25" s="173"/>
    </row>
    <row r="26" spans="2:14" ht="14.45" customHeight="1">
      <c r="B26" s="182" t="s">
        <v>2320</v>
      </c>
      <c r="C26" s="186"/>
      <c r="D26" s="184">
        <f>D21+D25</f>
        <v>346.92</v>
      </c>
      <c r="E26" s="185"/>
      <c r="F26" s="172"/>
      <c r="G26" s="172"/>
      <c r="H26" s="172"/>
      <c r="I26" s="172"/>
      <c r="J26" s="172"/>
      <c r="K26" s="172"/>
      <c r="L26" s="173"/>
    </row>
    <row r="27" spans="2:14">
      <c r="B27" s="189" t="s">
        <v>2321</v>
      </c>
      <c r="C27" s="183">
        <v>0</v>
      </c>
      <c r="D27" s="190">
        <f>(D26)*C27</f>
        <v>0</v>
      </c>
      <c r="E27" s="185"/>
      <c r="F27" s="172"/>
      <c r="G27" s="172"/>
      <c r="H27" s="172"/>
      <c r="I27" s="172"/>
      <c r="J27" s="172"/>
      <c r="K27" s="172"/>
      <c r="L27" s="173"/>
      <c r="N27" s="165"/>
    </row>
    <row r="28" spans="2:14" ht="15">
      <c r="B28" s="191" t="s">
        <v>2322</v>
      </c>
      <c r="C28" s="395">
        <f>D26+D27</f>
        <v>346.92</v>
      </c>
      <c r="D28" s="395"/>
      <c r="E28" s="192"/>
      <c r="F28" s="193"/>
      <c r="G28" s="193"/>
      <c r="H28" s="193"/>
      <c r="I28" s="193"/>
      <c r="J28" s="193"/>
      <c r="K28" s="193"/>
      <c r="L28" s="194"/>
    </row>
  </sheetData>
  <mergeCells count="18">
    <mergeCell ref="B9:L9"/>
    <mergeCell ref="B13:L13"/>
    <mergeCell ref="C28:D28"/>
    <mergeCell ref="H7:H8"/>
    <mergeCell ref="I7:I8"/>
    <mergeCell ref="J7:J8"/>
    <mergeCell ref="K7:K8"/>
    <mergeCell ref="L7:L8"/>
    <mergeCell ref="B7:B8"/>
    <mergeCell ref="C7:C8"/>
    <mergeCell ref="D7:D8"/>
    <mergeCell ref="E7:E8"/>
    <mergeCell ref="F7:G7"/>
    <mergeCell ref="B2:L2"/>
    <mergeCell ref="C3:L3"/>
    <mergeCell ref="C4:L4"/>
    <mergeCell ref="C5:L5"/>
    <mergeCell ref="C6:L6"/>
  </mergeCells>
  <pageMargins left="0.51180555555555596" right="0.51180555555555596" top="1.3472222222222201" bottom="0.78749999999999998" header="0.511811023622047" footer="0.511811023622047"/>
  <pageSetup scale="55" orientation="portrait" horizontalDpi="300"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32"/>
  <sheetViews>
    <sheetView view="pageBreakPreview" topLeftCell="A7" zoomScale="85" zoomScaleNormal="100" zoomScalePageLayoutView="85" workbookViewId="0">
      <selection activeCell="K10" sqref="K10"/>
    </sheetView>
  </sheetViews>
  <sheetFormatPr defaultColWidth="8.5703125" defaultRowHeight="15"/>
  <cols>
    <col min="1" max="1" width="30.28515625" customWidth="1"/>
    <col min="2" max="6" width="12.28515625" customWidth="1"/>
    <col min="7" max="7" width="13.7109375" customWidth="1"/>
    <col min="8" max="8" width="12.28515625" customWidth="1"/>
    <col min="9" max="9" width="13.7109375" customWidth="1"/>
    <col min="10" max="10" width="13.5703125" customWidth="1"/>
  </cols>
  <sheetData>
    <row r="1" spans="1:10" ht="22.35" customHeight="1">
      <c r="A1" s="389" t="s">
        <v>2245</v>
      </c>
      <c r="B1" s="389"/>
      <c r="C1" s="389"/>
      <c r="D1" s="389"/>
      <c r="E1" s="389"/>
      <c r="F1" s="389"/>
      <c r="G1" s="389"/>
      <c r="H1" s="389"/>
      <c r="I1" s="389"/>
      <c r="J1" s="389"/>
    </row>
    <row r="2" spans="1:10" ht="14.45" customHeight="1">
      <c r="A2" s="149" t="s">
        <v>2246</v>
      </c>
      <c r="B2" s="390" t="s">
        <v>2247</v>
      </c>
      <c r="C2" s="390"/>
      <c r="D2" s="390"/>
      <c r="E2" s="390"/>
      <c r="F2" s="390"/>
      <c r="G2" s="390"/>
      <c r="H2" s="390"/>
      <c r="I2" s="390"/>
      <c r="J2" s="390"/>
    </row>
    <row r="3" spans="1:10" ht="15.75">
      <c r="A3" s="150" t="s">
        <v>8</v>
      </c>
      <c r="B3" s="391">
        <v>12</v>
      </c>
      <c r="C3" s="391"/>
      <c r="D3" s="391"/>
      <c r="E3" s="391"/>
      <c r="F3" s="391"/>
      <c r="G3" s="391"/>
      <c r="H3" s="391"/>
      <c r="I3" s="391"/>
      <c r="J3" s="391"/>
    </row>
    <row r="4" spans="1:10" ht="28.35" customHeight="1">
      <c r="A4" s="150" t="s">
        <v>10</v>
      </c>
      <c r="B4" s="392" t="s">
        <v>1807</v>
      </c>
      <c r="C4" s="392"/>
      <c r="D4" s="392"/>
      <c r="E4" s="392"/>
      <c r="F4" s="392"/>
      <c r="G4" s="392"/>
      <c r="H4" s="392"/>
      <c r="I4" s="392"/>
      <c r="J4" s="392"/>
    </row>
    <row r="5" spans="1:10" ht="14.85" customHeight="1">
      <c r="A5" s="151" t="s">
        <v>2248</v>
      </c>
      <c r="B5" s="393" t="s">
        <v>25</v>
      </c>
      <c r="C5" s="393"/>
      <c r="D5" s="393"/>
      <c r="E5" s="393"/>
      <c r="F5" s="393"/>
      <c r="G5" s="393"/>
      <c r="H5" s="393"/>
      <c r="I5" s="393"/>
      <c r="J5" s="393"/>
    </row>
    <row r="6" spans="1:10" ht="14.45" customHeight="1">
      <c r="A6" s="398" t="s">
        <v>2249</v>
      </c>
      <c r="B6" s="399" t="s">
        <v>2250</v>
      </c>
      <c r="C6" s="399" t="s">
        <v>1955</v>
      </c>
      <c r="D6" s="399" t="s">
        <v>2251</v>
      </c>
      <c r="E6" s="400"/>
      <c r="F6" s="400"/>
      <c r="G6" s="396" t="s">
        <v>2252</v>
      </c>
      <c r="H6" s="396" t="s">
        <v>2253</v>
      </c>
      <c r="I6" s="396" t="s">
        <v>2254</v>
      </c>
      <c r="J6" s="397" t="s">
        <v>2255</v>
      </c>
    </row>
    <row r="7" spans="1:10">
      <c r="A7" s="398"/>
      <c r="B7" s="399"/>
      <c r="C7" s="399"/>
      <c r="D7" s="399"/>
      <c r="E7" s="152" t="s">
        <v>2256</v>
      </c>
      <c r="F7" s="152" t="s">
        <v>2257</v>
      </c>
      <c r="G7" s="396"/>
      <c r="H7" s="396"/>
      <c r="I7" s="396"/>
      <c r="J7" s="397"/>
    </row>
    <row r="8" spans="1:10" ht="14.85" customHeight="1">
      <c r="A8" s="394" t="s">
        <v>2258</v>
      </c>
      <c r="B8" s="394"/>
      <c r="C8" s="394"/>
      <c r="D8" s="394"/>
      <c r="E8" s="394"/>
      <c r="F8" s="394"/>
      <c r="G8" s="394"/>
      <c r="H8" s="394"/>
      <c r="I8" s="394"/>
      <c r="J8" s="394"/>
    </row>
    <row r="9" spans="1:10" ht="30">
      <c r="A9" s="153" t="s">
        <v>2259</v>
      </c>
      <c r="B9" s="87" t="s">
        <v>2260</v>
      </c>
      <c r="C9" s="87" t="s">
        <v>2328</v>
      </c>
      <c r="D9" s="87" t="s">
        <v>1810</v>
      </c>
      <c r="E9" s="154">
        <v>0.25</v>
      </c>
      <c r="F9" s="155">
        <v>1</v>
      </c>
      <c r="G9" s="156">
        <v>7.46</v>
      </c>
      <c r="H9" s="155">
        <v>0</v>
      </c>
      <c r="I9" s="157">
        <v>19.190000000000001</v>
      </c>
      <c r="J9" s="158">
        <f>TRUNC(SUM(E9*I9),3)</f>
        <v>4.7969999999999997</v>
      </c>
    </row>
    <row r="10" spans="1:10" ht="30">
      <c r="A10" s="153" t="s">
        <v>2268</v>
      </c>
      <c r="B10" s="87" t="s">
        <v>2260</v>
      </c>
      <c r="C10" s="87" t="s">
        <v>2347</v>
      </c>
      <c r="D10" s="87" t="s">
        <v>1810</v>
      </c>
      <c r="E10" s="154">
        <v>0.35</v>
      </c>
      <c r="F10" s="155">
        <v>1</v>
      </c>
      <c r="G10" s="156">
        <v>8.84</v>
      </c>
      <c r="H10" s="155">
        <v>0</v>
      </c>
      <c r="I10" s="157">
        <v>22.75</v>
      </c>
      <c r="J10" s="158">
        <f>TRUNC(SUM(E10*I10),3)</f>
        <v>7.9619999999999997</v>
      </c>
    </row>
    <row r="11" spans="1:10">
      <c r="A11" s="159"/>
      <c r="B11" s="160"/>
      <c r="C11" s="160"/>
      <c r="D11" s="160"/>
      <c r="E11" s="161"/>
      <c r="F11" s="161"/>
      <c r="G11" s="161"/>
      <c r="H11" s="162"/>
      <c r="I11" s="163" t="s">
        <v>2255</v>
      </c>
      <c r="J11" s="164">
        <f>TRUNC(SUM(J9:J10),2)</f>
        <v>12.75</v>
      </c>
    </row>
    <row r="12" spans="1:10" ht="14.85" customHeight="1">
      <c r="A12" s="394" t="s">
        <v>2272</v>
      </c>
      <c r="B12" s="394"/>
      <c r="C12" s="394"/>
      <c r="D12" s="394"/>
      <c r="E12" s="394"/>
      <c r="F12" s="394"/>
      <c r="G12" s="394"/>
      <c r="H12" s="394"/>
      <c r="I12" s="394"/>
      <c r="J12" s="394"/>
    </row>
    <row r="13" spans="1:10" ht="30">
      <c r="A13" s="153" t="s">
        <v>2397</v>
      </c>
      <c r="B13" s="87" t="s">
        <v>2296</v>
      </c>
      <c r="C13" s="87" t="s">
        <v>2398</v>
      </c>
      <c r="D13" s="87" t="s">
        <v>1810</v>
      </c>
      <c r="E13" s="154">
        <v>0.12</v>
      </c>
      <c r="F13" s="155">
        <v>1</v>
      </c>
      <c r="G13" s="156">
        <v>9.2899999999999991</v>
      </c>
      <c r="H13" s="155">
        <v>0</v>
      </c>
      <c r="I13" s="157">
        <f>G13</f>
        <v>9.2899999999999991</v>
      </c>
      <c r="J13" s="158">
        <f>TRUNC(SUM(E13*I13),3)</f>
        <v>1.1140000000000001</v>
      </c>
    </row>
    <row r="14" spans="1:10" ht="30">
      <c r="A14" s="153" t="s">
        <v>2302</v>
      </c>
      <c r="B14" s="87" t="s">
        <v>48</v>
      </c>
      <c r="C14" s="87" t="s">
        <v>2303</v>
      </c>
      <c r="D14" s="87" t="s">
        <v>1810</v>
      </c>
      <c r="E14" s="154">
        <v>0.5</v>
      </c>
      <c r="F14" s="155">
        <v>1</v>
      </c>
      <c r="G14" s="156">
        <v>0.9</v>
      </c>
      <c r="H14" s="155">
        <v>0</v>
      </c>
      <c r="I14" s="157">
        <f>G14</f>
        <v>0.9</v>
      </c>
      <c r="J14" s="158">
        <f>TRUNC(SUM(E14*I14),3)</f>
        <v>0.45</v>
      </c>
    </row>
    <row r="15" spans="1:10">
      <c r="A15" s="153" t="s">
        <v>2399</v>
      </c>
      <c r="B15" s="87" t="s">
        <v>1741</v>
      </c>
      <c r="C15" s="87" t="s">
        <v>2400</v>
      </c>
      <c r="D15" s="87" t="s">
        <v>1810</v>
      </c>
      <c r="E15" s="154">
        <v>0.7</v>
      </c>
      <c r="F15" s="155">
        <v>1</v>
      </c>
      <c r="G15" s="156">
        <v>4.53</v>
      </c>
      <c r="H15" s="155">
        <v>0</v>
      </c>
      <c r="I15" s="157">
        <f>G15</f>
        <v>4.53</v>
      </c>
      <c r="J15" s="158">
        <f>TRUNC(SUM(E15*I15),3)</f>
        <v>3.1709999999999998</v>
      </c>
    </row>
    <row r="16" spans="1:10">
      <c r="A16" s="166"/>
      <c r="B16" s="167"/>
      <c r="C16" s="167"/>
      <c r="D16" s="167"/>
      <c r="E16" s="167"/>
      <c r="F16" s="167"/>
      <c r="G16" s="167"/>
      <c r="H16" s="168"/>
      <c r="I16" s="169" t="s">
        <v>2255</v>
      </c>
      <c r="J16" s="170">
        <f>TRUNC(SUM(J13:J15),2)</f>
        <v>4.7300000000000004</v>
      </c>
    </row>
    <row r="17" spans="1:10">
      <c r="A17" s="171"/>
      <c r="B17" s="172"/>
      <c r="C17" s="172"/>
      <c r="D17" s="172"/>
      <c r="E17" s="172"/>
      <c r="F17" s="172"/>
      <c r="G17" s="172"/>
      <c r="H17" s="172"/>
      <c r="I17" s="172"/>
      <c r="J17" s="173"/>
    </row>
    <row r="18" spans="1:10" ht="14.85" customHeight="1">
      <c r="A18" s="394" t="s">
        <v>2307</v>
      </c>
      <c r="B18" s="394"/>
      <c r="C18" s="394"/>
      <c r="D18" s="394"/>
      <c r="E18" s="394"/>
      <c r="F18" s="394"/>
      <c r="G18" s="394"/>
      <c r="H18" s="394"/>
      <c r="I18" s="394"/>
      <c r="J18" s="394"/>
    </row>
    <row r="19" spans="1:10" ht="30">
      <c r="A19" s="153" t="s">
        <v>2334</v>
      </c>
      <c r="B19" s="87" t="s">
        <v>2335</v>
      </c>
      <c r="C19" s="87" t="s">
        <v>2330</v>
      </c>
      <c r="D19" s="87" t="s">
        <v>2330</v>
      </c>
      <c r="E19" s="154">
        <v>3.0299999999999999E-4</v>
      </c>
      <c r="F19" s="155">
        <v>1</v>
      </c>
      <c r="G19" s="156">
        <v>24570.54</v>
      </c>
      <c r="H19" s="155">
        <v>0</v>
      </c>
      <c r="I19" s="157">
        <f>G19</f>
        <v>24570.54</v>
      </c>
      <c r="J19" s="158">
        <f>TRUNC(SUM(E19*I19),2)</f>
        <v>7.44</v>
      </c>
    </row>
    <row r="20" spans="1:10">
      <c r="A20" s="166"/>
      <c r="B20" s="167"/>
      <c r="C20" s="167"/>
      <c r="D20" s="167"/>
      <c r="E20" s="167"/>
      <c r="F20" s="167"/>
      <c r="G20" s="167"/>
      <c r="H20" s="168"/>
      <c r="I20" s="169" t="s">
        <v>2255</v>
      </c>
      <c r="J20" s="170">
        <f>TRUNC(SUM(J19),2)</f>
        <v>7.44</v>
      </c>
    </row>
    <row r="21" spans="1:10">
      <c r="A21" s="171"/>
      <c r="B21" s="172"/>
      <c r="C21" s="172"/>
      <c r="D21" s="172"/>
      <c r="E21" s="172"/>
      <c r="F21" s="172"/>
      <c r="G21" s="172"/>
      <c r="H21" s="172"/>
      <c r="I21" s="172"/>
      <c r="J21" s="173"/>
    </row>
    <row r="22" spans="1:10">
      <c r="A22" s="175" t="s">
        <v>2310</v>
      </c>
      <c r="B22" s="176"/>
      <c r="C22" s="177"/>
      <c r="D22" s="172"/>
      <c r="E22" s="172"/>
      <c r="F22" s="172"/>
      <c r="G22" s="172"/>
      <c r="H22" s="172"/>
      <c r="I22" s="172"/>
      <c r="J22" s="173"/>
    </row>
    <row r="23" spans="1:10">
      <c r="A23" s="178" t="s">
        <v>2311</v>
      </c>
      <c r="B23" s="179" t="s">
        <v>2312</v>
      </c>
      <c r="C23" s="180" t="s">
        <v>2313</v>
      </c>
      <c r="D23" s="181"/>
      <c r="E23" s="172"/>
      <c r="F23" s="172"/>
      <c r="G23" s="172"/>
      <c r="H23" s="172"/>
      <c r="I23" s="172"/>
      <c r="J23" s="173"/>
    </row>
    <row r="24" spans="1:10">
      <c r="A24" s="182" t="s">
        <v>2314</v>
      </c>
      <c r="B24" s="183">
        <v>1.5737000000000001</v>
      </c>
      <c r="C24" s="184">
        <f>J11</f>
        <v>12.75</v>
      </c>
      <c r="D24" s="185"/>
      <c r="E24" s="172"/>
      <c r="F24" s="172"/>
      <c r="G24" s="172"/>
      <c r="H24" s="172"/>
      <c r="I24" s="172"/>
      <c r="J24" s="173"/>
    </row>
    <row r="25" spans="1:10">
      <c r="A25" s="182" t="s">
        <v>2315</v>
      </c>
      <c r="B25" s="186"/>
      <c r="C25" s="184">
        <f>J16</f>
        <v>4.7300000000000004</v>
      </c>
      <c r="D25" s="185"/>
      <c r="E25" s="172"/>
      <c r="F25" s="172"/>
      <c r="G25" s="172"/>
      <c r="H25" s="172"/>
      <c r="I25" s="172"/>
      <c r="J25" s="173"/>
    </row>
    <row r="26" spans="1:10">
      <c r="A26" s="182" t="s">
        <v>2316</v>
      </c>
      <c r="B26" s="186"/>
      <c r="C26" s="184">
        <f>J20</f>
        <v>7.44</v>
      </c>
      <c r="D26" s="185"/>
      <c r="E26" s="172"/>
      <c r="F26" s="172"/>
      <c r="G26" s="172"/>
      <c r="H26" s="172"/>
      <c r="I26" s="172"/>
      <c r="J26" s="173"/>
    </row>
    <row r="27" spans="1:10">
      <c r="A27" s="182" t="s">
        <v>2317</v>
      </c>
      <c r="B27" s="186"/>
      <c r="C27" s="184">
        <v>1</v>
      </c>
      <c r="D27" s="185"/>
      <c r="E27" s="172"/>
      <c r="F27" s="172"/>
      <c r="G27" s="172"/>
      <c r="H27" s="172"/>
      <c r="I27" s="172"/>
      <c r="J27" s="173"/>
    </row>
    <row r="28" spans="1:10">
      <c r="A28" s="182" t="s">
        <v>2318</v>
      </c>
      <c r="B28" s="186"/>
      <c r="C28" s="184">
        <f>C24+C26</f>
        <v>20.190000000000001</v>
      </c>
      <c r="D28" s="185"/>
      <c r="E28" s="172"/>
      <c r="F28" s="172"/>
      <c r="G28" s="187"/>
      <c r="H28" s="172"/>
      <c r="I28" s="172"/>
      <c r="J28" s="173"/>
    </row>
    <row r="29" spans="1:10" ht="25.5">
      <c r="A29" s="188" t="s">
        <v>2319</v>
      </c>
      <c r="B29" s="186"/>
      <c r="C29" s="184">
        <f>(C24+C26)/C27</f>
        <v>20.190000000000001</v>
      </c>
      <c r="D29" s="185"/>
      <c r="E29" s="172"/>
      <c r="F29" s="172"/>
      <c r="G29" s="172"/>
      <c r="H29" s="172"/>
      <c r="I29" s="172"/>
      <c r="J29" s="173"/>
    </row>
    <row r="30" spans="1:10">
      <c r="A30" s="182" t="s">
        <v>2320</v>
      </c>
      <c r="B30" s="186"/>
      <c r="C30" s="184">
        <f>C25+C29</f>
        <v>24.92</v>
      </c>
      <c r="D30" s="185"/>
      <c r="E30" s="172"/>
      <c r="F30" s="172"/>
      <c r="G30" s="172"/>
      <c r="H30" s="172"/>
      <c r="I30" s="172"/>
      <c r="J30" s="173"/>
    </row>
    <row r="31" spans="1:10">
      <c r="A31" s="189" t="s">
        <v>2321</v>
      </c>
      <c r="B31" s="183">
        <v>0</v>
      </c>
      <c r="C31" s="190">
        <f>(C30)*B31</f>
        <v>0</v>
      </c>
      <c r="D31" s="185"/>
      <c r="E31" s="172"/>
      <c r="F31" s="172"/>
      <c r="G31" s="172"/>
      <c r="H31" s="172"/>
      <c r="I31" s="172"/>
      <c r="J31" s="173"/>
    </row>
    <row r="32" spans="1:10">
      <c r="A32" s="191" t="s">
        <v>2322</v>
      </c>
      <c r="B32" s="395">
        <f>C30+C31</f>
        <v>24.92</v>
      </c>
      <c r="C32" s="395"/>
      <c r="D32" s="192"/>
      <c r="E32" s="193"/>
      <c r="F32" s="193"/>
      <c r="G32" s="193"/>
      <c r="H32" s="193"/>
      <c r="I32" s="193"/>
      <c r="J32" s="194"/>
    </row>
  </sheetData>
  <mergeCells count="18">
    <mergeCell ref="A12:J12"/>
    <mergeCell ref="A18:J18"/>
    <mergeCell ref="B32:C32"/>
    <mergeCell ref="G6:G7"/>
    <mergeCell ref="H6:H7"/>
    <mergeCell ref="I6:I7"/>
    <mergeCell ref="J6:J7"/>
    <mergeCell ref="A8:J8"/>
    <mergeCell ref="A6:A7"/>
    <mergeCell ref="B6:B7"/>
    <mergeCell ref="C6:C7"/>
    <mergeCell ref="D6:D7"/>
    <mergeCell ref="E6:F6"/>
    <mergeCell ref="A1:J1"/>
    <mergeCell ref="B2:J2"/>
    <mergeCell ref="B3:J3"/>
    <mergeCell ref="B4:J4"/>
    <mergeCell ref="B5:J5"/>
  </mergeCells>
  <pageMargins left="0.51180555555555596" right="0.51180555555555596" top="0.78749999999999998" bottom="0.78749999999999998" header="0.511811023622047" footer="0.511811023622047"/>
  <pageSetup scale="63" orientation="portrait" horizontalDpi="300" verticalDpi="3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38"/>
  <sheetViews>
    <sheetView view="pageBreakPreview" zoomScale="85" zoomScaleNormal="100" zoomScalePageLayoutView="85" workbookViewId="0">
      <selection activeCell="K10" sqref="K10"/>
    </sheetView>
  </sheetViews>
  <sheetFormatPr defaultColWidth="8.5703125" defaultRowHeight="15"/>
  <cols>
    <col min="1" max="1" width="30.28515625" customWidth="1"/>
    <col min="2" max="6" width="12.28515625" customWidth="1"/>
    <col min="7" max="7" width="13.7109375" customWidth="1"/>
    <col min="8" max="8" width="12.28515625" customWidth="1"/>
    <col min="9" max="9" width="13.7109375" customWidth="1"/>
    <col min="10" max="10" width="13.5703125" customWidth="1"/>
  </cols>
  <sheetData>
    <row r="1" spans="1:10" ht="22.35" customHeight="1">
      <c r="A1" s="389" t="s">
        <v>2245</v>
      </c>
      <c r="B1" s="389"/>
      <c r="C1" s="389"/>
      <c r="D1" s="389"/>
      <c r="E1" s="389"/>
      <c r="F1" s="389"/>
      <c r="G1" s="389"/>
      <c r="H1" s="389"/>
      <c r="I1" s="389"/>
      <c r="J1" s="389"/>
    </row>
    <row r="2" spans="1:10" ht="14.45" customHeight="1">
      <c r="A2" s="149" t="s">
        <v>2246</v>
      </c>
      <c r="B2" s="390" t="s">
        <v>2247</v>
      </c>
      <c r="C2" s="390"/>
      <c r="D2" s="390"/>
      <c r="E2" s="390"/>
      <c r="F2" s="390"/>
      <c r="G2" s="390"/>
      <c r="H2" s="390"/>
      <c r="I2" s="390"/>
      <c r="J2" s="390"/>
    </row>
    <row r="3" spans="1:10" ht="15.75">
      <c r="A3" s="150" t="s">
        <v>8</v>
      </c>
      <c r="B3" s="391">
        <v>13</v>
      </c>
      <c r="C3" s="391"/>
      <c r="D3" s="391"/>
      <c r="E3" s="391"/>
      <c r="F3" s="391"/>
      <c r="G3" s="391"/>
      <c r="H3" s="391"/>
      <c r="I3" s="391"/>
      <c r="J3" s="391"/>
    </row>
    <row r="4" spans="1:10" ht="14.85" customHeight="1">
      <c r="A4" s="150" t="s">
        <v>10</v>
      </c>
      <c r="B4" s="392" t="s">
        <v>1886</v>
      </c>
      <c r="C4" s="392"/>
      <c r="D4" s="392"/>
      <c r="E4" s="392"/>
      <c r="F4" s="392"/>
      <c r="G4" s="392"/>
      <c r="H4" s="392"/>
      <c r="I4" s="392"/>
      <c r="J4" s="392"/>
    </row>
    <row r="5" spans="1:10" ht="14.85" customHeight="1">
      <c r="A5" s="151" t="s">
        <v>2248</v>
      </c>
      <c r="B5" s="393" t="s">
        <v>48</v>
      </c>
      <c r="C5" s="393"/>
      <c r="D5" s="393"/>
      <c r="E5" s="393"/>
      <c r="F5" s="393"/>
      <c r="G5" s="393"/>
      <c r="H5" s="393"/>
      <c r="I5" s="393"/>
      <c r="J5" s="393"/>
    </row>
    <row r="6" spans="1:10" ht="14.45" customHeight="1">
      <c r="A6" s="398" t="s">
        <v>2249</v>
      </c>
      <c r="B6" s="399" t="s">
        <v>2250</v>
      </c>
      <c r="C6" s="399" t="s">
        <v>1955</v>
      </c>
      <c r="D6" s="399" t="s">
        <v>2251</v>
      </c>
      <c r="E6" s="400"/>
      <c r="F6" s="400"/>
      <c r="G6" s="396" t="s">
        <v>2252</v>
      </c>
      <c r="H6" s="396" t="s">
        <v>2253</v>
      </c>
      <c r="I6" s="396" t="s">
        <v>2254</v>
      </c>
      <c r="J6" s="397" t="s">
        <v>2255</v>
      </c>
    </row>
    <row r="7" spans="1:10">
      <c r="A7" s="398"/>
      <c r="B7" s="399"/>
      <c r="C7" s="399"/>
      <c r="D7" s="399"/>
      <c r="E7" s="152" t="s">
        <v>2256</v>
      </c>
      <c r="F7" s="152" t="s">
        <v>2257</v>
      </c>
      <c r="G7" s="396"/>
      <c r="H7" s="396"/>
      <c r="I7" s="396"/>
      <c r="J7" s="397"/>
    </row>
    <row r="8" spans="1:10" ht="14.85" customHeight="1">
      <c r="A8" s="402" t="s">
        <v>2258</v>
      </c>
      <c r="B8" s="402"/>
      <c r="C8" s="402"/>
      <c r="D8" s="402"/>
      <c r="E8" s="402"/>
      <c r="F8" s="402"/>
      <c r="G8" s="402"/>
      <c r="H8" s="402"/>
      <c r="I8" s="402"/>
      <c r="J8" s="402"/>
    </row>
    <row r="9" spans="1:10" ht="38.25">
      <c r="A9" s="198" t="s">
        <v>2401</v>
      </c>
      <c r="B9" s="199" t="s">
        <v>2260</v>
      </c>
      <c r="C9" s="200" t="s">
        <v>2402</v>
      </c>
      <c r="D9" s="200" t="s">
        <v>133</v>
      </c>
      <c r="E9" s="201">
        <v>4.6769999999999996</v>
      </c>
      <c r="F9" s="202">
        <v>1</v>
      </c>
      <c r="G9" s="203">
        <v>23.68</v>
      </c>
      <c r="H9" s="202">
        <v>0</v>
      </c>
      <c r="I9" s="204">
        <f>G9</f>
        <v>23.68</v>
      </c>
      <c r="J9" s="205">
        <f>TRUNC(SUM(E9*I9),3)</f>
        <v>110.751</v>
      </c>
    </row>
    <row r="10" spans="1:10" ht="25.5">
      <c r="A10" s="206" t="s">
        <v>2403</v>
      </c>
      <c r="B10" s="207" t="s">
        <v>2260</v>
      </c>
      <c r="C10" s="208" t="s">
        <v>2404</v>
      </c>
      <c r="D10" s="208" t="s">
        <v>133</v>
      </c>
      <c r="E10" s="209">
        <v>4.6769999999999996</v>
      </c>
      <c r="F10" s="210">
        <v>1</v>
      </c>
      <c r="G10" s="211">
        <v>31.21</v>
      </c>
      <c r="H10" s="212">
        <v>0</v>
      </c>
      <c r="I10" s="157">
        <f>G10</f>
        <v>31.21</v>
      </c>
      <c r="J10" s="213">
        <f>TRUNC(SUM(E10*I10),3)</f>
        <v>145.96899999999999</v>
      </c>
    </row>
    <row r="11" spans="1:10" ht="25.5">
      <c r="A11" s="206" t="s">
        <v>2405</v>
      </c>
      <c r="B11" s="207" t="s">
        <v>2260</v>
      </c>
      <c r="C11" s="208" t="s">
        <v>2406</v>
      </c>
      <c r="D11" s="208" t="s">
        <v>133</v>
      </c>
      <c r="E11" s="209">
        <v>6.0590000000000002</v>
      </c>
      <c r="F11" s="210">
        <v>1</v>
      </c>
      <c r="G11" s="211">
        <v>27.52</v>
      </c>
      <c r="H11" s="210">
        <v>0</v>
      </c>
      <c r="I11" s="157">
        <f>G11</f>
        <v>27.52</v>
      </c>
      <c r="J11" s="213">
        <f>TRUNC(SUM(E11*I11),3)</f>
        <v>166.74299999999999</v>
      </c>
    </row>
    <row r="12" spans="1:10" ht="25.5">
      <c r="A12" s="206" t="s">
        <v>2369</v>
      </c>
      <c r="B12" s="207" t="s">
        <v>2260</v>
      </c>
      <c r="C12" s="208" t="s">
        <v>2407</v>
      </c>
      <c r="D12" s="208" t="s">
        <v>133</v>
      </c>
      <c r="E12" s="209">
        <v>40.393000000000001</v>
      </c>
      <c r="F12" s="210">
        <v>1</v>
      </c>
      <c r="G12" s="211">
        <v>21.28</v>
      </c>
      <c r="H12" s="210">
        <v>0</v>
      </c>
      <c r="I12" s="157">
        <f>G12</f>
        <v>21.28</v>
      </c>
      <c r="J12" s="213">
        <f>TRUNC(SUM(E12*I12),3)</f>
        <v>859.56299999999999</v>
      </c>
    </row>
    <row r="13" spans="1:10" ht="38.25">
      <c r="A13" s="206" t="s">
        <v>2408</v>
      </c>
      <c r="B13" s="207" t="s">
        <v>2260</v>
      </c>
      <c r="C13" s="208" t="s">
        <v>2409</v>
      </c>
      <c r="D13" s="208" t="s">
        <v>133</v>
      </c>
      <c r="E13" s="209">
        <v>0.63800000000000001</v>
      </c>
      <c r="F13" s="210">
        <v>1</v>
      </c>
      <c r="G13" s="211">
        <v>39.39</v>
      </c>
      <c r="H13" s="210">
        <v>0</v>
      </c>
      <c r="I13" s="157">
        <f>G13</f>
        <v>39.39</v>
      </c>
      <c r="J13" s="213">
        <f>TRUNC(SUM(E13*I13),3)</f>
        <v>25.13</v>
      </c>
    </row>
    <row r="14" spans="1:10">
      <c r="A14" s="214"/>
      <c r="B14" s="160"/>
      <c r="C14" s="160"/>
      <c r="D14" s="160"/>
      <c r="E14" s="161"/>
      <c r="F14" s="161"/>
      <c r="G14" s="161"/>
      <c r="H14" s="162"/>
      <c r="I14" s="169" t="s">
        <v>2255</v>
      </c>
      <c r="J14" s="215">
        <f>TRUNC(SUM(J9:J10),2)</f>
        <v>256.72000000000003</v>
      </c>
    </row>
    <row r="15" spans="1:10" ht="14.85" customHeight="1">
      <c r="A15" s="394" t="s">
        <v>2272</v>
      </c>
      <c r="B15" s="394"/>
      <c r="C15" s="394"/>
      <c r="D15" s="394"/>
      <c r="E15" s="394"/>
      <c r="F15" s="394"/>
      <c r="G15" s="394"/>
      <c r="H15" s="394"/>
      <c r="I15" s="394"/>
      <c r="J15" s="394"/>
    </row>
    <row r="16" spans="1:10" ht="28.9" customHeight="1">
      <c r="A16" s="216" t="s">
        <v>2410</v>
      </c>
      <c r="B16" s="87" t="s">
        <v>2250</v>
      </c>
      <c r="C16" s="87">
        <v>802</v>
      </c>
      <c r="D16" s="87" t="s">
        <v>6</v>
      </c>
      <c r="E16" s="154">
        <v>1</v>
      </c>
      <c r="F16" s="155">
        <v>1</v>
      </c>
      <c r="G16" s="156">
        <v>482.55</v>
      </c>
      <c r="H16" s="155">
        <v>0</v>
      </c>
      <c r="I16" s="157">
        <f t="shared" ref="I16:I25" si="0">G16</f>
        <v>482.55</v>
      </c>
      <c r="J16" s="158">
        <f t="shared" ref="J16:J25" si="1">TRUNC(SUM(E16*I16),3)</f>
        <v>482.55</v>
      </c>
    </row>
    <row r="17" spans="1:10" ht="45">
      <c r="A17" s="217" t="s">
        <v>2411</v>
      </c>
      <c r="B17" s="87" t="s">
        <v>2250</v>
      </c>
      <c r="C17" s="87">
        <v>367</v>
      </c>
      <c r="D17" s="87" t="s">
        <v>6</v>
      </c>
      <c r="E17" s="154">
        <v>2</v>
      </c>
      <c r="F17" s="155">
        <v>1</v>
      </c>
      <c r="G17" s="218">
        <v>579.9</v>
      </c>
      <c r="H17" s="155">
        <v>0</v>
      </c>
      <c r="I17" s="157">
        <f t="shared" si="0"/>
        <v>579.9</v>
      </c>
      <c r="J17" s="158">
        <f t="shared" si="1"/>
        <v>1159.8</v>
      </c>
    </row>
    <row r="18" spans="1:10" ht="30">
      <c r="A18" s="216" t="s">
        <v>2412</v>
      </c>
      <c r="B18" s="219" t="s">
        <v>2250</v>
      </c>
      <c r="C18" s="220">
        <v>9534</v>
      </c>
      <c r="D18" s="220" t="s">
        <v>6</v>
      </c>
      <c r="E18" s="221">
        <v>1</v>
      </c>
      <c r="F18" s="210">
        <v>1</v>
      </c>
      <c r="G18" s="222">
        <v>103.12</v>
      </c>
      <c r="H18" s="210">
        <v>0</v>
      </c>
      <c r="I18" s="213">
        <f t="shared" si="0"/>
        <v>103.12</v>
      </c>
      <c r="J18" s="213">
        <f t="shared" si="1"/>
        <v>103.12</v>
      </c>
    </row>
    <row r="19" spans="1:10" ht="25.5">
      <c r="A19" s="223" t="s">
        <v>2413</v>
      </c>
      <c r="B19" s="224" t="s">
        <v>160</v>
      </c>
      <c r="C19" s="208" t="s">
        <v>2414</v>
      </c>
      <c r="D19" s="87" t="s">
        <v>6</v>
      </c>
      <c r="E19" s="225">
        <v>156</v>
      </c>
      <c r="F19" s="210">
        <v>1</v>
      </c>
      <c r="G19" s="226">
        <v>0.73</v>
      </c>
      <c r="H19" s="210">
        <v>0</v>
      </c>
      <c r="I19" s="213">
        <f t="shared" si="0"/>
        <v>0.73</v>
      </c>
      <c r="J19" s="213">
        <f t="shared" si="1"/>
        <v>113.88</v>
      </c>
    </row>
    <row r="20" spans="1:10">
      <c r="A20" s="223" t="s">
        <v>2415</v>
      </c>
      <c r="B20" s="224" t="s">
        <v>38</v>
      </c>
      <c r="C20" s="208" t="s">
        <v>2416</v>
      </c>
      <c r="D20" s="87" t="s">
        <v>6</v>
      </c>
      <c r="E20" s="225">
        <v>0.375</v>
      </c>
      <c r="F20" s="210">
        <v>1</v>
      </c>
      <c r="G20" s="226">
        <v>76.83</v>
      </c>
      <c r="H20" s="210">
        <v>0</v>
      </c>
      <c r="I20" s="213">
        <f t="shared" si="0"/>
        <v>76.83</v>
      </c>
      <c r="J20" s="213">
        <f t="shared" si="1"/>
        <v>28.811</v>
      </c>
    </row>
    <row r="21" spans="1:10">
      <c r="A21" s="223" t="s">
        <v>2417</v>
      </c>
      <c r="B21" s="224" t="s">
        <v>38</v>
      </c>
      <c r="C21" s="208" t="s">
        <v>2418</v>
      </c>
      <c r="D21" s="87" t="s">
        <v>6</v>
      </c>
      <c r="E21" s="225">
        <v>0.48099999999999998</v>
      </c>
      <c r="F21" s="210">
        <v>1</v>
      </c>
      <c r="G21" s="226">
        <v>139.30000000000001</v>
      </c>
      <c r="H21" s="210">
        <v>0</v>
      </c>
      <c r="I21" s="213">
        <f t="shared" si="0"/>
        <v>139.30000000000001</v>
      </c>
      <c r="J21" s="213">
        <f t="shared" si="1"/>
        <v>67.003</v>
      </c>
    </row>
    <row r="22" spans="1:10" ht="38.25">
      <c r="A22" s="223" t="s">
        <v>2419</v>
      </c>
      <c r="B22" s="224" t="s">
        <v>193</v>
      </c>
      <c r="C22" s="208" t="s">
        <v>2420</v>
      </c>
      <c r="D22" s="87" t="s">
        <v>6</v>
      </c>
      <c r="E22" s="225">
        <v>6</v>
      </c>
      <c r="F22" s="210">
        <v>1</v>
      </c>
      <c r="G22" s="226">
        <v>8.24</v>
      </c>
      <c r="H22" s="210">
        <v>0</v>
      </c>
      <c r="I22" s="213">
        <f t="shared" si="0"/>
        <v>8.24</v>
      </c>
      <c r="J22" s="213">
        <f t="shared" si="1"/>
        <v>49.44</v>
      </c>
    </row>
    <row r="23" spans="1:10" ht="25.5">
      <c r="A23" s="223" t="s">
        <v>2421</v>
      </c>
      <c r="B23" s="224" t="s">
        <v>253</v>
      </c>
      <c r="C23" s="208" t="s">
        <v>2422</v>
      </c>
      <c r="D23" s="87" t="s">
        <v>6</v>
      </c>
      <c r="E23" s="225">
        <v>1</v>
      </c>
      <c r="F23" s="210">
        <v>1</v>
      </c>
      <c r="G23" s="226">
        <v>5.0199999999999996</v>
      </c>
      <c r="H23" s="210">
        <v>0</v>
      </c>
      <c r="I23" s="213">
        <f t="shared" si="0"/>
        <v>5.0199999999999996</v>
      </c>
      <c r="J23" s="213">
        <f t="shared" si="1"/>
        <v>5.0199999999999996</v>
      </c>
    </row>
    <row r="24" spans="1:10" ht="25.5">
      <c r="A24" s="223" t="s">
        <v>2423</v>
      </c>
      <c r="B24" s="224" t="s">
        <v>193</v>
      </c>
      <c r="C24" s="208">
        <v>3532</v>
      </c>
      <c r="D24" s="87" t="s">
        <v>6</v>
      </c>
      <c r="E24" s="225">
        <v>12</v>
      </c>
      <c r="F24" s="210">
        <v>1</v>
      </c>
      <c r="G24" s="226">
        <v>9.0399999999999991</v>
      </c>
      <c r="H24" s="210">
        <v>0</v>
      </c>
      <c r="I24" s="213">
        <f t="shared" si="0"/>
        <v>9.0399999999999991</v>
      </c>
      <c r="J24" s="213">
        <f t="shared" si="1"/>
        <v>108.48</v>
      </c>
    </row>
    <row r="25" spans="1:10" ht="25.5">
      <c r="A25" s="223" t="s">
        <v>2424</v>
      </c>
      <c r="B25" s="224" t="s">
        <v>253</v>
      </c>
      <c r="C25" s="208" t="s">
        <v>2425</v>
      </c>
      <c r="D25" s="87" t="s">
        <v>6</v>
      </c>
      <c r="E25" s="225">
        <v>3</v>
      </c>
      <c r="F25" s="210">
        <v>1</v>
      </c>
      <c r="G25" s="226">
        <v>2.4500000000000002</v>
      </c>
      <c r="H25" s="210">
        <v>0</v>
      </c>
      <c r="I25" s="213">
        <f t="shared" si="0"/>
        <v>2.4500000000000002</v>
      </c>
      <c r="J25" s="213">
        <f t="shared" si="1"/>
        <v>7.35</v>
      </c>
    </row>
    <row r="26" spans="1:10">
      <c r="A26" s="166"/>
      <c r="B26" s="167"/>
      <c r="C26" s="167"/>
      <c r="D26" s="167"/>
      <c r="E26" s="167"/>
      <c r="F26" s="167"/>
      <c r="G26" s="167"/>
      <c r="H26" s="168"/>
      <c r="I26" s="169" t="s">
        <v>2255</v>
      </c>
      <c r="J26" s="170">
        <f>TRUNC(SUM(J16:J25),2)</f>
        <v>2125.4499999999998</v>
      </c>
    </row>
    <row r="27" spans="1:10">
      <c r="A27" s="171"/>
      <c r="B27" s="172"/>
      <c r="C27" s="172"/>
      <c r="D27" s="172"/>
      <c r="E27" s="172"/>
      <c r="F27" s="172"/>
      <c r="G27" s="172"/>
      <c r="H27" s="172"/>
      <c r="I27" s="172"/>
      <c r="J27" s="173"/>
    </row>
    <row r="28" spans="1:10">
      <c r="A28" s="175" t="s">
        <v>2310</v>
      </c>
      <c r="B28" s="176"/>
      <c r="C28" s="177"/>
      <c r="D28" s="172"/>
      <c r="E28" s="172"/>
      <c r="F28" s="172"/>
      <c r="G28" s="172"/>
      <c r="H28" s="172"/>
      <c r="I28" s="172" t="s">
        <v>1969</v>
      </c>
      <c r="J28" s="173"/>
    </row>
    <row r="29" spans="1:10">
      <c r="A29" s="178" t="s">
        <v>2311</v>
      </c>
      <c r="B29" s="179" t="s">
        <v>2312</v>
      </c>
      <c r="C29" s="180" t="s">
        <v>2313</v>
      </c>
      <c r="D29" s="181"/>
      <c r="E29" s="172"/>
      <c r="F29" s="172"/>
      <c r="G29" s="172"/>
      <c r="H29" s="172"/>
      <c r="I29" s="172"/>
      <c r="J29" s="173"/>
    </row>
    <row r="30" spans="1:10">
      <c r="A30" s="182" t="s">
        <v>2314</v>
      </c>
      <c r="B30" s="183">
        <v>1.5737000000000001</v>
      </c>
      <c r="C30" s="184">
        <f>J14</f>
        <v>256.72000000000003</v>
      </c>
      <c r="D30" s="185"/>
      <c r="E30" s="172"/>
      <c r="F30" s="172"/>
      <c r="G30" s="172"/>
      <c r="H30" s="172"/>
      <c r="I30" s="172"/>
      <c r="J30" s="173"/>
    </row>
    <row r="31" spans="1:10">
      <c r="A31" s="182" t="s">
        <v>2315</v>
      </c>
      <c r="B31" s="186"/>
      <c r="C31" s="184">
        <f>J26</f>
        <v>2125.4499999999998</v>
      </c>
      <c r="D31" s="185"/>
      <c r="E31" s="172"/>
      <c r="F31" s="172"/>
      <c r="G31" s="172"/>
      <c r="H31" s="172"/>
      <c r="I31" s="172"/>
      <c r="J31" s="173"/>
    </row>
    <row r="32" spans="1:10">
      <c r="A32" s="182" t="s">
        <v>2316</v>
      </c>
      <c r="B32" s="186"/>
      <c r="C32" s="184">
        <v>0</v>
      </c>
      <c r="D32" s="185"/>
      <c r="E32" s="172"/>
      <c r="F32" s="172"/>
      <c r="G32" s="172"/>
      <c r="H32" s="172"/>
      <c r="I32" s="172"/>
      <c r="J32" s="173"/>
    </row>
    <row r="33" spans="1:10">
      <c r="A33" s="182" t="s">
        <v>2317</v>
      </c>
      <c r="B33" s="186"/>
      <c r="C33" s="184">
        <v>1</v>
      </c>
      <c r="D33" s="185"/>
      <c r="E33" s="172"/>
      <c r="F33" s="172"/>
      <c r="G33" s="172"/>
      <c r="H33" s="172"/>
      <c r="I33" s="172"/>
      <c r="J33" s="173"/>
    </row>
    <row r="34" spans="1:10">
      <c r="A34" s="182" t="s">
        <v>2318</v>
      </c>
      <c r="B34" s="186"/>
      <c r="C34" s="184">
        <f>C30+C32</f>
        <v>256.72000000000003</v>
      </c>
      <c r="D34" s="185"/>
      <c r="E34" s="172"/>
      <c r="F34" s="172"/>
      <c r="G34" s="187"/>
      <c r="H34" s="172"/>
      <c r="I34" s="172"/>
      <c r="J34" s="173"/>
    </row>
    <row r="35" spans="1:10" ht="25.5">
      <c r="A35" s="188" t="s">
        <v>2319</v>
      </c>
      <c r="B35" s="186"/>
      <c r="C35" s="184">
        <f>(C30+C32)/C33</f>
        <v>256.72000000000003</v>
      </c>
      <c r="D35" s="185"/>
      <c r="E35" s="172"/>
      <c r="F35" s="172"/>
      <c r="G35" s="172"/>
      <c r="H35" s="172"/>
      <c r="I35" s="172"/>
      <c r="J35" s="173"/>
    </row>
    <row r="36" spans="1:10">
      <c r="A36" s="182" t="s">
        <v>2320</v>
      </c>
      <c r="B36" s="186"/>
      <c r="C36" s="184">
        <f>C31+C35</f>
        <v>2382.17</v>
      </c>
      <c r="D36" s="185"/>
      <c r="E36" s="172"/>
      <c r="F36" s="172"/>
      <c r="G36" s="172"/>
      <c r="H36" s="172"/>
      <c r="I36" s="172"/>
      <c r="J36" s="173"/>
    </row>
    <row r="37" spans="1:10">
      <c r="A37" s="189" t="s">
        <v>2321</v>
      </c>
      <c r="B37" s="183">
        <v>0</v>
      </c>
      <c r="C37" s="190">
        <f>(C36)*B37</f>
        <v>0</v>
      </c>
      <c r="D37" s="185"/>
      <c r="E37" s="172"/>
      <c r="F37" s="172"/>
      <c r="G37" s="172"/>
      <c r="H37" s="172"/>
      <c r="I37" s="172"/>
      <c r="J37" s="173"/>
    </row>
    <row r="38" spans="1:10">
      <c r="A38" s="191" t="s">
        <v>2322</v>
      </c>
      <c r="B38" s="395">
        <f>C36+C37</f>
        <v>2382.17</v>
      </c>
      <c r="C38" s="395"/>
      <c r="D38" s="192"/>
      <c r="E38" s="193"/>
      <c r="F38" s="193"/>
      <c r="G38" s="193"/>
      <c r="H38" s="193"/>
      <c r="I38" s="193"/>
      <c r="J38" s="194"/>
    </row>
  </sheetData>
  <mergeCells count="17">
    <mergeCell ref="A15:J15"/>
    <mergeCell ref="B38:C38"/>
    <mergeCell ref="G6:G7"/>
    <mergeCell ref="H6:H7"/>
    <mergeCell ref="I6:I7"/>
    <mergeCell ref="J6:J7"/>
    <mergeCell ref="A8:J8"/>
    <mergeCell ref="A6:A7"/>
    <mergeCell ref="B6:B7"/>
    <mergeCell ref="C6:C7"/>
    <mergeCell ref="D6:D7"/>
    <mergeCell ref="E6:F6"/>
    <mergeCell ref="A1:J1"/>
    <mergeCell ref="B2:J2"/>
    <mergeCell ref="B3:J3"/>
    <mergeCell ref="B4:J4"/>
    <mergeCell ref="B5:J5"/>
  </mergeCells>
  <pageMargins left="0.51180555555555596" right="0.51180555555555596" top="0.78749999999999998" bottom="0.78749999999999998" header="0.511811023622047" footer="0.511811023622047"/>
  <pageSetup scale="63" orientation="portrait" horizontalDpi="300" verticalDpi="3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28"/>
  <sheetViews>
    <sheetView view="pageBreakPreview" zoomScale="85" zoomScaleNormal="100" zoomScalePageLayoutView="85" workbookViewId="0">
      <selection activeCell="K10" sqref="K10"/>
    </sheetView>
  </sheetViews>
  <sheetFormatPr defaultColWidth="8.5703125" defaultRowHeight="15"/>
  <cols>
    <col min="1" max="1" width="30.28515625" customWidth="1"/>
    <col min="2" max="6" width="12.28515625" customWidth="1"/>
    <col min="7" max="7" width="13.7109375" customWidth="1"/>
    <col min="8" max="8" width="12.28515625" customWidth="1"/>
    <col min="9" max="9" width="13.7109375" customWidth="1"/>
    <col min="10" max="10" width="13.5703125" customWidth="1"/>
  </cols>
  <sheetData>
    <row r="1" spans="1:10" ht="22.35" customHeight="1">
      <c r="A1" s="389" t="s">
        <v>2245</v>
      </c>
      <c r="B1" s="389"/>
      <c r="C1" s="389"/>
      <c r="D1" s="389"/>
      <c r="E1" s="389"/>
      <c r="F1" s="389"/>
      <c r="G1" s="389"/>
      <c r="H1" s="389"/>
      <c r="I1" s="389"/>
      <c r="J1" s="389"/>
    </row>
    <row r="2" spans="1:10" ht="14.45" customHeight="1">
      <c r="A2" s="149" t="s">
        <v>2246</v>
      </c>
      <c r="B2" s="390" t="s">
        <v>2247</v>
      </c>
      <c r="C2" s="390"/>
      <c r="D2" s="390"/>
      <c r="E2" s="390"/>
      <c r="F2" s="390"/>
      <c r="G2" s="390"/>
      <c r="H2" s="390"/>
      <c r="I2" s="390"/>
      <c r="J2" s="390"/>
    </row>
    <row r="3" spans="1:10" ht="15.75">
      <c r="A3" s="150" t="s">
        <v>8</v>
      </c>
      <c r="B3" s="391">
        <v>14</v>
      </c>
      <c r="C3" s="391"/>
      <c r="D3" s="391"/>
      <c r="E3" s="391"/>
      <c r="F3" s="391"/>
      <c r="G3" s="391"/>
      <c r="H3" s="391"/>
      <c r="I3" s="391"/>
      <c r="J3" s="391"/>
    </row>
    <row r="4" spans="1:10" ht="14.85" customHeight="1">
      <c r="A4" s="150" t="s">
        <v>10</v>
      </c>
      <c r="B4" s="392" t="s">
        <v>1888</v>
      </c>
      <c r="C4" s="392"/>
      <c r="D4" s="392"/>
      <c r="E4" s="392"/>
      <c r="F4" s="392"/>
      <c r="G4" s="392"/>
      <c r="H4" s="392"/>
      <c r="I4" s="392"/>
      <c r="J4" s="392"/>
    </row>
    <row r="5" spans="1:10" ht="14.85" customHeight="1">
      <c r="A5" s="151" t="s">
        <v>2248</v>
      </c>
      <c r="B5" s="393" t="s">
        <v>243</v>
      </c>
      <c r="C5" s="393"/>
      <c r="D5" s="393"/>
      <c r="E5" s="393"/>
      <c r="F5" s="393"/>
      <c r="G5" s="393"/>
      <c r="H5" s="393"/>
      <c r="I5" s="393"/>
      <c r="J5" s="393"/>
    </row>
    <row r="6" spans="1:10" ht="14.45" customHeight="1">
      <c r="A6" s="398" t="s">
        <v>2249</v>
      </c>
      <c r="B6" s="399" t="s">
        <v>2250</v>
      </c>
      <c r="C6" s="399" t="s">
        <v>1955</v>
      </c>
      <c r="D6" s="399" t="s">
        <v>2251</v>
      </c>
      <c r="E6" s="400"/>
      <c r="F6" s="400"/>
      <c r="G6" s="396" t="s">
        <v>2252</v>
      </c>
      <c r="H6" s="396" t="s">
        <v>2253</v>
      </c>
      <c r="I6" s="396" t="s">
        <v>2254</v>
      </c>
      <c r="J6" s="397" t="s">
        <v>2255</v>
      </c>
    </row>
    <row r="7" spans="1:10">
      <c r="A7" s="398"/>
      <c r="B7" s="399"/>
      <c r="C7" s="399"/>
      <c r="D7" s="399"/>
      <c r="E7" s="152" t="s">
        <v>2256</v>
      </c>
      <c r="F7" s="152" t="s">
        <v>2257</v>
      </c>
      <c r="G7" s="396"/>
      <c r="H7" s="396"/>
      <c r="I7" s="396"/>
      <c r="J7" s="397"/>
    </row>
    <row r="8" spans="1:10" ht="14.85" customHeight="1">
      <c r="A8" s="402" t="s">
        <v>2258</v>
      </c>
      <c r="B8" s="402"/>
      <c r="C8" s="402"/>
      <c r="D8" s="402"/>
      <c r="E8" s="402"/>
      <c r="F8" s="402"/>
      <c r="G8" s="402"/>
      <c r="H8" s="402"/>
      <c r="I8" s="402"/>
      <c r="J8" s="402"/>
    </row>
    <row r="9" spans="1:10" ht="30">
      <c r="A9" s="227" t="s">
        <v>2266</v>
      </c>
      <c r="B9" s="87" t="s">
        <v>2260</v>
      </c>
      <c r="C9" s="87" t="s">
        <v>2336</v>
      </c>
      <c r="D9" s="87" t="s">
        <v>1810</v>
      </c>
      <c r="E9" s="225">
        <v>0.8</v>
      </c>
      <c r="F9" s="210">
        <v>1</v>
      </c>
      <c r="G9" s="228">
        <v>8.84</v>
      </c>
      <c r="H9" s="210">
        <v>0</v>
      </c>
      <c r="I9" s="213">
        <f>TRUNC(G9+(G9*$B$20),2)</f>
        <v>22.75</v>
      </c>
      <c r="J9" s="213">
        <f>TRUNC(SUM(E9*I9),3)</f>
        <v>18.2</v>
      </c>
    </row>
    <row r="10" spans="1:10" ht="30">
      <c r="A10" s="227" t="s">
        <v>2270</v>
      </c>
      <c r="B10" s="87" t="s">
        <v>2260</v>
      </c>
      <c r="C10" s="87" t="s">
        <v>2337</v>
      </c>
      <c r="D10" s="87" t="s">
        <v>1810</v>
      </c>
      <c r="E10" s="225">
        <v>0.8</v>
      </c>
      <c r="F10" s="210">
        <v>1</v>
      </c>
      <c r="G10" s="228">
        <v>6.56</v>
      </c>
      <c r="H10" s="210">
        <v>0</v>
      </c>
      <c r="I10" s="213">
        <f>TRUNC(G10+(G10*$B$20),2)</f>
        <v>16.88</v>
      </c>
      <c r="J10" s="213">
        <f>TRUNC(SUM(E10*I10),3)</f>
        <v>13.504</v>
      </c>
    </row>
    <row r="11" spans="1:10">
      <c r="A11" s="214"/>
      <c r="B11" s="160"/>
      <c r="C11" s="160"/>
      <c r="D11" s="160"/>
      <c r="E11" s="161"/>
      <c r="F11" s="161"/>
      <c r="G11" s="161"/>
      <c r="H11" s="162"/>
      <c r="I11" s="169" t="s">
        <v>2255</v>
      </c>
      <c r="J11" s="215">
        <f>TRUNC(SUM(J9:J10),2)</f>
        <v>31.7</v>
      </c>
    </row>
    <row r="12" spans="1:10" ht="14.85" customHeight="1">
      <c r="A12" s="394" t="s">
        <v>2272</v>
      </c>
      <c r="B12" s="394"/>
      <c r="C12" s="394"/>
      <c r="D12" s="394"/>
      <c r="E12" s="394"/>
      <c r="F12" s="394"/>
      <c r="G12" s="394"/>
      <c r="H12" s="394"/>
      <c r="I12" s="394"/>
      <c r="J12" s="394"/>
    </row>
    <row r="13" spans="1:10" ht="28.9" customHeight="1">
      <c r="A13" s="216" t="s">
        <v>2426</v>
      </c>
      <c r="B13" s="87" t="s">
        <v>243</v>
      </c>
      <c r="C13" s="87">
        <v>11062</v>
      </c>
      <c r="D13" s="200" t="s">
        <v>133</v>
      </c>
      <c r="E13" s="154">
        <v>1</v>
      </c>
      <c r="F13" s="155">
        <v>1</v>
      </c>
      <c r="G13" s="156">
        <v>45.99</v>
      </c>
      <c r="H13" s="155">
        <v>0</v>
      </c>
      <c r="I13" s="157">
        <f>G13</f>
        <v>45.99</v>
      </c>
      <c r="J13" s="158">
        <f>TRUNC(SUM(E13*I13),3)</f>
        <v>45.99</v>
      </c>
    </row>
    <row r="14" spans="1:10" ht="45">
      <c r="A14" s="217" t="s">
        <v>2427</v>
      </c>
      <c r="B14" s="87" t="s">
        <v>2428</v>
      </c>
      <c r="C14" s="1">
        <v>40547</v>
      </c>
      <c r="D14" s="229" t="s">
        <v>133</v>
      </c>
      <c r="E14" s="154">
        <v>0.15</v>
      </c>
      <c r="F14" s="155">
        <v>1</v>
      </c>
      <c r="G14" s="230">
        <v>30.68</v>
      </c>
      <c r="H14" s="155">
        <v>0</v>
      </c>
      <c r="I14" s="157">
        <f>G14</f>
        <v>30.68</v>
      </c>
      <c r="J14" s="158">
        <f>TRUNC(SUM(E14*I14),3)</f>
        <v>4.6020000000000003</v>
      </c>
    </row>
    <row r="15" spans="1:10" ht="45">
      <c r="A15" s="216" t="s">
        <v>2429</v>
      </c>
      <c r="B15" s="219" t="s">
        <v>193</v>
      </c>
      <c r="C15" s="231">
        <v>7182</v>
      </c>
      <c r="D15" s="208" t="s">
        <v>6</v>
      </c>
      <c r="E15" s="221">
        <v>0.83</v>
      </c>
      <c r="F15" s="210">
        <v>1</v>
      </c>
      <c r="G15" s="232">
        <v>13.48</v>
      </c>
      <c r="H15" s="210">
        <v>0</v>
      </c>
      <c r="I15" s="213">
        <f>G15</f>
        <v>13.48</v>
      </c>
      <c r="J15" s="213">
        <f>TRUNC(SUM(E15*I15),3)</f>
        <v>11.188000000000001</v>
      </c>
    </row>
    <row r="16" spans="1:10">
      <c r="A16" s="166"/>
      <c r="B16" s="167"/>
      <c r="C16" s="167"/>
      <c r="D16" s="167"/>
      <c r="E16" s="167"/>
      <c r="F16" s="167"/>
      <c r="G16" s="167"/>
      <c r="H16" s="168"/>
      <c r="I16" s="169" t="s">
        <v>2255</v>
      </c>
      <c r="J16" s="170">
        <f>TRUNC(SUM(J13:J15),2)</f>
        <v>61.78</v>
      </c>
    </row>
    <row r="17" spans="1:10">
      <c r="A17" s="171"/>
      <c r="B17" s="172"/>
      <c r="C17" s="172"/>
      <c r="D17" s="172"/>
      <c r="E17" s="172"/>
      <c r="F17" s="172"/>
      <c r="G17" s="172"/>
      <c r="H17" s="172"/>
      <c r="I17" s="172"/>
      <c r="J17" s="173"/>
    </row>
    <row r="18" spans="1:10">
      <c r="A18" s="175" t="s">
        <v>2310</v>
      </c>
      <c r="B18" s="176"/>
      <c r="C18" s="177"/>
      <c r="D18" s="172"/>
      <c r="E18" s="172"/>
      <c r="F18" s="172"/>
      <c r="G18" s="172"/>
      <c r="H18" s="172"/>
      <c r="I18" s="172" t="s">
        <v>1969</v>
      </c>
      <c r="J18" s="173"/>
    </row>
    <row r="19" spans="1:10">
      <c r="A19" s="178" t="s">
        <v>2311</v>
      </c>
      <c r="B19" s="179" t="s">
        <v>2312</v>
      </c>
      <c r="C19" s="180" t="s">
        <v>2313</v>
      </c>
      <c r="D19" s="181"/>
      <c r="E19" s="172"/>
      <c r="F19" s="172"/>
      <c r="G19" s="172"/>
      <c r="H19" s="172"/>
      <c r="I19" s="172"/>
      <c r="J19" s="173"/>
    </row>
    <row r="20" spans="1:10">
      <c r="A20" s="182" t="s">
        <v>2314</v>
      </c>
      <c r="B20" s="183">
        <v>1.5737000000000001</v>
      </c>
      <c r="C20" s="184">
        <f>J11</f>
        <v>31.7</v>
      </c>
      <c r="D20" s="185"/>
      <c r="E20" s="172"/>
      <c r="F20" s="172"/>
      <c r="G20" s="172"/>
      <c r="H20" s="172"/>
      <c r="I20" s="172"/>
      <c r="J20" s="173"/>
    </row>
    <row r="21" spans="1:10">
      <c r="A21" s="182" t="s">
        <v>2315</v>
      </c>
      <c r="B21" s="186"/>
      <c r="C21" s="184">
        <f>J16</f>
        <v>61.78</v>
      </c>
      <c r="D21" s="185"/>
      <c r="E21" s="172"/>
      <c r="F21" s="172"/>
      <c r="G21" s="172"/>
      <c r="H21" s="172"/>
      <c r="I21" s="172"/>
      <c r="J21" s="173"/>
    </row>
    <row r="22" spans="1:10">
      <c r="A22" s="182" t="s">
        <v>2316</v>
      </c>
      <c r="B22" s="186"/>
      <c r="C22" s="184">
        <v>0</v>
      </c>
      <c r="D22" s="185"/>
      <c r="E22" s="172"/>
      <c r="F22" s="172"/>
      <c r="G22" s="172"/>
      <c r="H22" s="172"/>
      <c r="I22" s="172"/>
      <c r="J22" s="173"/>
    </row>
    <row r="23" spans="1:10">
      <c r="A23" s="182" t="s">
        <v>2317</v>
      </c>
      <c r="B23" s="186"/>
      <c r="C23" s="184">
        <v>1</v>
      </c>
      <c r="D23" s="185"/>
      <c r="E23" s="172"/>
      <c r="F23" s="172"/>
      <c r="G23" s="172"/>
      <c r="H23" s="172"/>
      <c r="I23" s="172"/>
      <c r="J23" s="173"/>
    </row>
    <row r="24" spans="1:10">
      <c r="A24" s="182" t="s">
        <v>2318</v>
      </c>
      <c r="B24" s="186"/>
      <c r="C24" s="184">
        <f>C20+C22</f>
        <v>31.7</v>
      </c>
      <c r="D24" s="185"/>
      <c r="E24" s="172"/>
      <c r="F24" s="172"/>
      <c r="G24" s="187"/>
      <c r="H24" s="172"/>
      <c r="I24" s="172"/>
      <c r="J24" s="173"/>
    </row>
    <row r="25" spans="1:10" ht="25.5">
      <c r="A25" s="188" t="s">
        <v>2319</v>
      </c>
      <c r="B25" s="186"/>
      <c r="C25" s="184">
        <f>(C20+C22)/C23</f>
        <v>31.7</v>
      </c>
      <c r="D25" s="185"/>
      <c r="E25" s="172"/>
      <c r="F25" s="172"/>
      <c r="G25" s="172"/>
      <c r="H25" s="172"/>
      <c r="I25" s="172"/>
      <c r="J25" s="173"/>
    </row>
    <row r="26" spans="1:10">
      <c r="A26" s="182" t="s">
        <v>2320</v>
      </c>
      <c r="B26" s="186"/>
      <c r="C26" s="184">
        <f>C21+C25</f>
        <v>93.48</v>
      </c>
      <c r="D26" s="185"/>
      <c r="E26" s="172"/>
      <c r="F26" s="172"/>
      <c r="G26" s="172"/>
      <c r="H26" s="172"/>
      <c r="I26" s="172"/>
      <c r="J26" s="173"/>
    </row>
    <row r="27" spans="1:10">
      <c r="A27" s="189" t="s">
        <v>2321</v>
      </c>
      <c r="B27" s="183">
        <v>0</v>
      </c>
      <c r="C27" s="190">
        <f>(C26)*B27</f>
        <v>0</v>
      </c>
      <c r="D27" s="185"/>
      <c r="E27" s="172"/>
      <c r="F27" s="172"/>
      <c r="G27" s="172"/>
      <c r="H27" s="172"/>
      <c r="I27" s="172"/>
      <c r="J27" s="173"/>
    </row>
    <row r="28" spans="1:10">
      <c r="A28" s="191" t="s">
        <v>2322</v>
      </c>
      <c r="B28" s="395">
        <f>C26+C27</f>
        <v>93.48</v>
      </c>
      <c r="C28" s="395"/>
      <c r="D28" s="192"/>
      <c r="E28" s="193"/>
      <c r="F28" s="193"/>
      <c r="G28" s="193"/>
      <c r="H28" s="193"/>
      <c r="I28" s="193"/>
      <c r="J28" s="194"/>
    </row>
  </sheetData>
  <mergeCells count="17">
    <mergeCell ref="A12:J12"/>
    <mergeCell ref="B28:C28"/>
    <mergeCell ref="G6:G7"/>
    <mergeCell ref="H6:H7"/>
    <mergeCell ref="I6:I7"/>
    <mergeCell ref="J6:J7"/>
    <mergeCell ref="A8:J8"/>
    <mergeCell ref="A6:A7"/>
    <mergeCell ref="B6:B7"/>
    <mergeCell ref="C6:C7"/>
    <mergeCell ref="D6:D7"/>
    <mergeCell ref="E6:F6"/>
    <mergeCell ref="A1:J1"/>
    <mergeCell ref="B2:J2"/>
    <mergeCell ref="B3:J3"/>
    <mergeCell ref="B4:J4"/>
    <mergeCell ref="B5:J5"/>
  </mergeCells>
  <pageMargins left="0.51180555555555596" right="0.51180555555555596" top="0.78749999999999998" bottom="0.78749999999999998" header="0.511811023622047" footer="0.511811023622047"/>
  <pageSetup scale="63" orientation="portrait" horizontalDpi="300" verticalDpi="3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J26"/>
  <sheetViews>
    <sheetView view="pageBreakPreview" topLeftCell="A7" zoomScale="85" zoomScaleNormal="100" zoomScalePageLayoutView="85" workbookViewId="0">
      <selection activeCell="K10" sqref="K10"/>
    </sheetView>
  </sheetViews>
  <sheetFormatPr defaultColWidth="8.5703125" defaultRowHeight="15"/>
  <cols>
    <col min="1" max="1" width="30.28515625" customWidth="1"/>
    <col min="2" max="6" width="12.28515625" customWidth="1"/>
    <col min="7" max="7" width="13.7109375" customWidth="1"/>
    <col min="8" max="8" width="12.28515625" customWidth="1"/>
    <col min="9" max="9" width="13.7109375" customWidth="1"/>
    <col min="10" max="10" width="13.5703125" customWidth="1"/>
  </cols>
  <sheetData>
    <row r="1" spans="1:10" ht="22.35" customHeight="1">
      <c r="A1" s="389" t="s">
        <v>2245</v>
      </c>
      <c r="B1" s="389"/>
      <c r="C1" s="389"/>
      <c r="D1" s="389"/>
      <c r="E1" s="389"/>
      <c r="F1" s="389"/>
      <c r="G1" s="389"/>
      <c r="H1" s="389"/>
      <c r="I1" s="389"/>
      <c r="J1" s="389"/>
    </row>
    <row r="2" spans="1:10" ht="14.45" customHeight="1">
      <c r="A2" s="149" t="s">
        <v>2246</v>
      </c>
      <c r="B2" s="390" t="s">
        <v>2247</v>
      </c>
      <c r="C2" s="390"/>
      <c r="D2" s="390"/>
      <c r="E2" s="390"/>
      <c r="F2" s="390"/>
      <c r="G2" s="390"/>
      <c r="H2" s="390"/>
      <c r="I2" s="390"/>
      <c r="J2" s="390"/>
    </row>
    <row r="3" spans="1:10" ht="15.75">
      <c r="A3" s="150" t="s">
        <v>8</v>
      </c>
      <c r="B3" s="391">
        <v>16</v>
      </c>
      <c r="C3" s="391"/>
      <c r="D3" s="391"/>
      <c r="E3" s="391"/>
      <c r="F3" s="391"/>
      <c r="G3" s="391"/>
      <c r="H3" s="391"/>
      <c r="I3" s="391"/>
      <c r="J3" s="391"/>
    </row>
    <row r="4" spans="1:10" ht="14.85" customHeight="1">
      <c r="A4" s="150" t="s">
        <v>10</v>
      </c>
      <c r="B4" s="392" t="s">
        <v>1890</v>
      </c>
      <c r="C4" s="392"/>
      <c r="D4" s="392"/>
      <c r="E4" s="392"/>
      <c r="F4" s="392"/>
      <c r="G4" s="392"/>
      <c r="H4" s="392"/>
      <c r="I4" s="392"/>
      <c r="J4" s="392"/>
    </row>
    <row r="5" spans="1:10" ht="14.85" customHeight="1">
      <c r="A5" s="151" t="s">
        <v>2248</v>
      </c>
      <c r="B5" s="393" t="s">
        <v>2250</v>
      </c>
      <c r="C5" s="393"/>
      <c r="D5" s="393"/>
      <c r="E5" s="393"/>
      <c r="F5" s="393"/>
      <c r="G5" s="393"/>
      <c r="H5" s="393"/>
      <c r="I5" s="393"/>
      <c r="J5" s="393"/>
    </row>
    <row r="6" spans="1:10" ht="14.45" customHeight="1">
      <c r="A6" s="398" t="s">
        <v>2249</v>
      </c>
      <c r="B6" s="399" t="s">
        <v>2250</v>
      </c>
      <c r="C6" s="399" t="s">
        <v>1955</v>
      </c>
      <c r="D6" s="399" t="s">
        <v>2251</v>
      </c>
      <c r="E6" s="400"/>
      <c r="F6" s="400"/>
      <c r="G6" s="396" t="s">
        <v>2252</v>
      </c>
      <c r="H6" s="396" t="s">
        <v>2253</v>
      </c>
      <c r="I6" s="396" t="s">
        <v>2254</v>
      </c>
      <c r="J6" s="397" t="s">
        <v>2255</v>
      </c>
    </row>
    <row r="7" spans="1:10">
      <c r="A7" s="398"/>
      <c r="B7" s="399"/>
      <c r="C7" s="399"/>
      <c r="D7" s="399"/>
      <c r="E7" s="152" t="s">
        <v>2256</v>
      </c>
      <c r="F7" s="152" t="s">
        <v>2257</v>
      </c>
      <c r="G7" s="396"/>
      <c r="H7" s="396"/>
      <c r="I7" s="396"/>
      <c r="J7" s="397"/>
    </row>
    <row r="8" spans="1:10" ht="14.85" customHeight="1">
      <c r="A8" s="402" t="s">
        <v>2258</v>
      </c>
      <c r="B8" s="402"/>
      <c r="C8" s="402"/>
      <c r="D8" s="402"/>
      <c r="E8" s="402"/>
      <c r="F8" s="402"/>
      <c r="G8" s="402"/>
      <c r="H8" s="402"/>
      <c r="I8" s="402"/>
      <c r="J8" s="402"/>
    </row>
    <row r="9" spans="1:10" ht="42.75">
      <c r="A9" s="233" t="s">
        <v>2401</v>
      </c>
      <c r="B9" s="234" t="s">
        <v>2260</v>
      </c>
      <c r="C9" s="235" t="s">
        <v>2402</v>
      </c>
      <c r="D9" s="235" t="s">
        <v>133</v>
      </c>
      <c r="E9" s="236">
        <v>1.5</v>
      </c>
      <c r="F9" s="237">
        <v>1</v>
      </c>
      <c r="G9" s="238">
        <v>23.68</v>
      </c>
      <c r="H9" s="237">
        <v>0</v>
      </c>
      <c r="I9" s="239">
        <f>G9</f>
        <v>23.68</v>
      </c>
      <c r="J9" s="240">
        <f>TRUNC(SUM(E9*I9),3)</f>
        <v>35.520000000000003</v>
      </c>
    </row>
    <row r="10" spans="1:10" ht="42.75">
      <c r="A10" s="241" t="s">
        <v>2403</v>
      </c>
      <c r="B10" s="242" t="s">
        <v>2260</v>
      </c>
      <c r="C10" s="243" t="s">
        <v>2404</v>
      </c>
      <c r="D10" s="243" t="s">
        <v>133</v>
      </c>
      <c r="E10" s="244">
        <v>1.5</v>
      </c>
      <c r="F10" s="245">
        <v>1</v>
      </c>
      <c r="G10" s="246">
        <v>31.21</v>
      </c>
      <c r="H10" s="247">
        <v>0</v>
      </c>
      <c r="I10" s="248">
        <f>G10</f>
        <v>31.21</v>
      </c>
      <c r="J10" s="249">
        <f>TRUNC(SUM(E10*I10),3)</f>
        <v>46.814999999999998</v>
      </c>
    </row>
    <row r="11" spans="1:10">
      <c r="A11" s="214"/>
      <c r="B11" s="160"/>
      <c r="C11" s="160"/>
      <c r="D11" s="160"/>
      <c r="E11" s="161"/>
      <c r="F11" s="161"/>
      <c r="G11" s="161"/>
      <c r="H11" s="162"/>
      <c r="I11" s="169" t="s">
        <v>2255</v>
      </c>
      <c r="J11" s="215">
        <f>TRUNC(SUM(J9:J10),2)</f>
        <v>82.33</v>
      </c>
    </row>
    <row r="12" spans="1:10" ht="14.85" customHeight="1">
      <c r="A12" s="394" t="s">
        <v>2272</v>
      </c>
      <c r="B12" s="394"/>
      <c r="C12" s="394"/>
      <c r="D12" s="394"/>
      <c r="E12" s="394"/>
      <c r="F12" s="394"/>
      <c r="G12" s="394"/>
      <c r="H12" s="394"/>
      <c r="I12" s="394"/>
      <c r="J12" s="394"/>
    </row>
    <row r="13" spans="1:10" ht="28.9" customHeight="1">
      <c r="A13" s="216" t="s">
        <v>2430</v>
      </c>
      <c r="B13" s="87" t="s">
        <v>2250</v>
      </c>
      <c r="C13" s="200" t="s">
        <v>2330</v>
      </c>
      <c r="D13" s="200" t="s">
        <v>2330</v>
      </c>
      <c r="E13" s="154">
        <v>1</v>
      </c>
      <c r="F13" s="155">
        <v>1</v>
      </c>
      <c r="G13" s="156">
        <v>1618.94</v>
      </c>
      <c r="H13" s="155">
        <v>0</v>
      </c>
      <c r="I13" s="157">
        <f>G13</f>
        <v>1618.94</v>
      </c>
      <c r="J13" s="158">
        <f>TRUNC(SUM(E13*I13),3)</f>
        <v>1618.94</v>
      </c>
    </row>
    <row r="14" spans="1:10">
      <c r="A14" s="166"/>
      <c r="B14" s="167"/>
      <c r="C14" s="167"/>
      <c r="D14" s="167"/>
      <c r="E14" s="167"/>
      <c r="F14" s="167"/>
      <c r="G14" s="167"/>
      <c r="H14" s="168"/>
      <c r="I14" s="169" t="s">
        <v>2255</v>
      </c>
      <c r="J14" s="170">
        <f>TRUNC(SUM(J13:J13),2)</f>
        <v>1618.94</v>
      </c>
    </row>
    <row r="15" spans="1:10">
      <c r="A15" s="171"/>
      <c r="B15" s="172"/>
      <c r="C15" s="172"/>
      <c r="D15" s="172"/>
      <c r="E15" s="172"/>
      <c r="F15" s="172"/>
      <c r="G15" s="172"/>
      <c r="H15" s="172"/>
      <c r="I15" s="172"/>
      <c r="J15" s="173"/>
    </row>
    <row r="16" spans="1:10">
      <c r="A16" s="175" t="s">
        <v>2310</v>
      </c>
      <c r="B16" s="176"/>
      <c r="C16" s="177"/>
      <c r="D16" s="172"/>
      <c r="E16" s="172"/>
      <c r="F16" s="172"/>
      <c r="G16" s="172"/>
      <c r="H16" s="172"/>
      <c r="I16" s="172" t="s">
        <v>1969</v>
      </c>
      <c r="J16" s="173"/>
    </row>
    <row r="17" spans="1:10">
      <c r="A17" s="178" t="s">
        <v>2311</v>
      </c>
      <c r="B17" s="179" t="s">
        <v>2312</v>
      </c>
      <c r="C17" s="180" t="s">
        <v>2313</v>
      </c>
      <c r="D17" s="181"/>
      <c r="E17" s="172"/>
      <c r="F17" s="172"/>
      <c r="G17" s="172"/>
      <c r="H17" s="172"/>
      <c r="I17" s="172"/>
      <c r="J17" s="173"/>
    </row>
    <row r="18" spans="1:10">
      <c r="A18" s="182" t="s">
        <v>2314</v>
      </c>
      <c r="B18" s="183">
        <v>1.5737000000000001</v>
      </c>
      <c r="C18" s="184">
        <f>J11</f>
        <v>82.33</v>
      </c>
      <c r="D18" s="185"/>
      <c r="E18" s="172"/>
      <c r="F18" s="172"/>
      <c r="G18" s="172"/>
      <c r="H18" s="172"/>
      <c r="I18" s="172"/>
      <c r="J18" s="173"/>
    </row>
    <row r="19" spans="1:10">
      <c r="A19" s="182" t="s">
        <v>2315</v>
      </c>
      <c r="B19" s="186"/>
      <c r="C19" s="184">
        <f>J14</f>
        <v>1618.94</v>
      </c>
      <c r="D19" s="185"/>
      <c r="E19" s="172"/>
      <c r="F19" s="172"/>
      <c r="G19" s="172"/>
      <c r="H19" s="172"/>
      <c r="I19" s="172"/>
      <c r="J19" s="173"/>
    </row>
    <row r="20" spans="1:10">
      <c r="A20" s="182" t="s">
        <v>2316</v>
      </c>
      <c r="B20" s="186"/>
      <c r="C20" s="184">
        <v>0</v>
      </c>
      <c r="D20" s="185"/>
      <c r="E20" s="172"/>
      <c r="F20" s="172"/>
      <c r="G20" s="172"/>
      <c r="H20" s="172"/>
      <c r="I20" s="172"/>
      <c r="J20" s="173"/>
    </row>
    <row r="21" spans="1:10">
      <c r="A21" s="182" t="s">
        <v>2317</v>
      </c>
      <c r="B21" s="186"/>
      <c r="C21" s="184">
        <v>1</v>
      </c>
      <c r="D21" s="185"/>
      <c r="E21" s="172"/>
      <c r="F21" s="172"/>
      <c r="G21" s="172"/>
      <c r="H21" s="172"/>
      <c r="I21" s="172"/>
      <c r="J21" s="173"/>
    </row>
    <row r="22" spans="1:10">
      <c r="A22" s="182" t="s">
        <v>2318</v>
      </c>
      <c r="B22" s="186"/>
      <c r="C22" s="184">
        <f>C18+C20</f>
        <v>82.33</v>
      </c>
      <c r="D22" s="185"/>
      <c r="E22" s="172"/>
      <c r="F22" s="172"/>
      <c r="G22" s="187"/>
      <c r="H22" s="172"/>
      <c r="I22" s="172"/>
      <c r="J22" s="173"/>
    </row>
    <row r="23" spans="1:10" ht="25.5">
      <c r="A23" s="188" t="s">
        <v>2319</v>
      </c>
      <c r="B23" s="186"/>
      <c r="C23" s="184">
        <f>(C18+C20)/C21</f>
        <v>82.33</v>
      </c>
      <c r="D23" s="185"/>
      <c r="E23" s="172"/>
      <c r="F23" s="172"/>
      <c r="G23" s="172"/>
      <c r="H23" s="172"/>
      <c r="I23" s="172"/>
      <c r="J23" s="173"/>
    </row>
    <row r="24" spans="1:10">
      <c r="A24" s="182" t="s">
        <v>2320</v>
      </c>
      <c r="B24" s="186"/>
      <c r="C24" s="184">
        <f>C19+C23</f>
        <v>1701.27</v>
      </c>
      <c r="D24" s="185"/>
      <c r="E24" s="172"/>
      <c r="F24" s="172"/>
      <c r="G24" s="172"/>
      <c r="H24" s="172"/>
      <c r="I24" s="172"/>
      <c r="J24" s="173"/>
    </row>
    <row r="25" spans="1:10">
      <c r="A25" s="189" t="s">
        <v>2321</v>
      </c>
      <c r="B25" s="183">
        <v>0</v>
      </c>
      <c r="C25" s="190">
        <f>(C24)*B25</f>
        <v>0</v>
      </c>
      <c r="D25" s="185"/>
      <c r="E25" s="172"/>
      <c r="F25" s="172"/>
      <c r="G25" s="172"/>
      <c r="H25" s="172"/>
      <c r="I25" s="172"/>
      <c r="J25" s="173"/>
    </row>
    <row r="26" spans="1:10">
      <c r="A26" s="191" t="s">
        <v>2322</v>
      </c>
      <c r="B26" s="395">
        <f>C24+C25</f>
        <v>1701.27</v>
      </c>
      <c r="C26" s="395"/>
      <c r="D26" s="192"/>
      <c r="E26" s="193"/>
      <c r="F26" s="193"/>
      <c r="G26" s="193"/>
      <c r="H26" s="193"/>
      <c r="I26" s="193"/>
      <c r="J26" s="194"/>
    </row>
  </sheetData>
  <mergeCells count="17">
    <mergeCell ref="A12:J12"/>
    <mergeCell ref="B26:C26"/>
    <mergeCell ref="G6:G7"/>
    <mergeCell ref="H6:H7"/>
    <mergeCell ref="I6:I7"/>
    <mergeCell ref="J6:J7"/>
    <mergeCell ref="A8:J8"/>
    <mergeCell ref="A6:A7"/>
    <mergeCell ref="B6:B7"/>
    <mergeCell ref="C6:C7"/>
    <mergeCell ref="D6:D7"/>
    <mergeCell ref="E6:F6"/>
    <mergeCell ref="A1:J1"/>
    <mergeCell ref="B2:J2"/>
    <mergeCell ref="B3:J3"/>
    <mergeCell ref="B4:J4"/>
    <mergeCell ref="B5:J5"/>
  </mergeCells>
  <pageMargins left="0.51180555555555596" right="0.51180555555555596" top="0.78749999999999998" bottom="0.78749999999999998" header="0.511811023622047" footer="0.511811023622047"/>
  <pageSetup scale="63" orientation="portrait" horizontalDpi="300" verticalDpi="3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J23"/>
  <sheetViews>
    <sheetView view="pageBreakPreview" zoomScale="130" zoomScaleNormal="100" zoomScalePageLayoutView="130" workbookViewId="0">
      <selection activeCell="K10" sqref="K10"/>
    </sheetView>
  </sheetViews>
  <sheetFormatPr defaultColWidth="8.5703125" defaultRowHeight="15"/>
  <cols>
    <col min="1" max="1" width="30.28515625" customWidth="1"/>
    <col min="2" max="6" width="12.28515625" customWidth="1"/>
    <col min="7" max="7" width="13.7109375" customWidth="1"/>
    <col min="8" max="8" width="12.28515625" customWidth="1"/>
    <col min="9" max="9" width="13.7109375" customWidth="1"/>
    <col min="10" max="10" width="13.5703125" customWidth="1"/>
  </cols>
  <sheetData>
    <row r="1" spans="1:10" ht="22.35" customHeight="1">
      <c r="A1" s="389" t="s">
        <v>2245</v>
      </c>
      <c r="B1" s="389"/>
      <c r="C1" s="389"/>
      <c r="D1" s="389"/>
      <c r="E1" s="389"/>
      <c r="F1" s="389"/>
      <c r="G1" s="389"/>
      <c r="H1" s="389"/>
      <c r="I1" s="389"/>
      <c r="J1" s="389"/>
    </row>
    <row r="2" spans="1:10" ht="14.45" customHeight="1">
      <c r="A2" s="149" t="s">
        <v>2246</v>
      </c>
      <c r="B2" s="390" t="s">
        <v>2247</v>
      </c>
      <c r="C2" s="390"/>
      <c r="D2" s="390"/>
      <c r="E2" s="390"/>
      <c r="F2" s="390"/>
      <c r="G2" s="390"/>
      <c r="H2" s="390"/>
      <c r="I2" s="390"/>
      <c r="J2" s="390"/>
    </row>
    <row r="3" spans="1:10" ht="15.75">
      <c r="A3" s="150" t="s">
        <v>8</v>
      </c>
      <c r="B3" s="391">
        <v>17</v>
      </c>
      <c r="C3" s="391"/>
      <c r="D3" s="391"/>
      <c r="E3" s="391"/>
      <c r="F3" s="391"/>
      <c r="G3" s="391"/>
      <c r="H3" s="391"/>
      <c r="I3" s="391"/>
      <c r="J3" s="391"/>
    </row>
    <row r="4" spans="1:10" ht="14.85" customHeight="1">
      <c r="A4" s="150" t="s">
        <v>10</v>
      </c>
      <c r="B4" s="392" t="s">
        <v>2431</v>
      </c>
      <c r="C4" s="392"/>
      <c r="D4" s="392"/>
      <c r="E4" s="392"/>
      <c r="F4" s="392"/>
      <c r="G4" s="392"/>
      <c r="H4" s="392"/>
      <c r="I4" s="392"/>
      <c r="J4" s="392"/>
    </row>
    <row r="5" spans="1:10" ht="14.85" customHeight="1">
      <c r="A5" s="151" t="s">
        <v>2248</v>
      </c>
      <c r="B5" s="393" t="s">
        <v>243</v>
      </c>
      <c r="C5" s="393"/>
      <c r="D5" s="393"/>
      <c r="E5" s="393"/>
      <c r="F5" s="393"/>
      <c r="G5" s="393"/>
      <c r="H5" s="393"/>
      <c r="I5" s="393"/>
      <c r="J5" s="393"/>
    </row>
    <row r="6" spans="1:10" ht="14.45" customHeight="1">
      <c r="A6" s="398" t="s">
        <v>2249</v>
      </c>
      <c r="B6" s="399" t="s">
        <v>2250</v>
      </c>
      <c r="C6" s="399" t="s">
        <v>1955</v>
      </c>
      <c r="D6" s="399" t="s">
        <v>2251</v>
      </c>
      <c r="E6" s="400"/>
      <c r="F6" s="400"/>
      <c r="G6" s="396" t="s">
        <v>2252</v>
      </c>
      <c r="H6" s="396" t="s">
        <v>2253</v>
      </c>
      <c r="I6" s="396" t="s">
        <v>2254</v>
      </c>
      <c r="J6" s="397" t="s">
        <v>2255</v>
      </c>
    </row>
    <row r="7" spans="1:10">
      <c r="A7" s="398"/>
      <c r="B7" s="399"/>
      <c r="C7" s="399"/>
      <c r="D7" s="399"/>
      <c r="E7" s="152" t="s">
        <v>2256</v>
      </c>
      <c r="F7" s="152" t="s">
        <v>2257</v>
      </c>
      <c r="G7" s="396"/>
      <c r="H7" s="396"/>
      <c r="I7" s="396"/>
      <c r="J7" s="397"/>
    </row>
    <row r="8" spans="1:10" ht="14.85" customHeight="1">
      <c r="A8" s="402" t="s">
        <v>2258</v>
      </c>
      <c r="B8" s="402"/>
      <c r="C8" s="402"/>
      <c r="D8" s="402"/>
      <c r="E8" s="402"/>
      <c r="F8" s="402"/>
      <c r="G8" s="402"/>
      <c r="H8" s="402"/>
      <c r="I8" s="402"/>
      <c r="J8" s="402"/>
    </row>
    <row r="9" spans="1:10">
      <c r="A9" s="227" t="s">
        <v>2432</v>
      </c>
      <c r="B9" s="87" t="s">
        <v>2260</v>
      </c>
      <c r="C9" s="87">
        <v>10209</v>
      </c>
      <c r="D9" s="87" t="s">
        <v>133</v>
      </c>
      <c r="E9" s="225">
        <v>0.01</v>
      </c>
      <c r="F9" s="210">
        <v>1</v>
      </c>
      <c r="G9" s="228">
        <v>28.79</v>
      </c>
      <c r="H9" s="210">
        <v>0</v>
      </c>
      <c r="I9" s="213">
        <f>G9</f>
        <v>28.79</v>
      </c>
      <c r="J9" s="213">
        <f>TRUNC(SUM(E9*I9),3)</f>
        <v>0.28699999999999998</v>
      </c>
    </row>
    <row r="10" spans="1:10" ht="30">
      <c r="A10" s="227" t="s">
        <v>2433</v>
      </c>
      <c r="B10" s="87" t="s">
        <v>2260</v>
      </c>
      <c r="C10" s="87">
        <v>244</v>
      </c>
      <c r="D10" s="87" t="s">
        <v>133</v>
      </c>
      <c r="E10" s="225">
        <v>0.01</v>
      </c>
      <c r="F10" s="210">
        <v>1</v>
      </c>
      <c r="G10" s="228">
        <v>12.93</v>
      </c>
      <c r="H10" s="210">
        <v>0</v>
      </c>
      <c r="I10" s="213">
        <f>G10</f>
        <v>12.93</v>
      </c>
      <c r="J10" s="213">
        <f>TRUNC(SUM(E10*I10),3)</f>
        <v>0.129</v>
      </c>
    </row>
    <row r="11" spans="1:10">
      <c r="A11" s="214"/>
      <c r="B11" s="160"/>
      <c r="C11" s="160"/>
      <c r="D11" s="160"/>
      <c r="E11" s="161"/>
      <c r="F11" s="161"/>
      <c r="G11" s="161"/>
      <c r="H11" s="162"/>
      <c r="I11" s="169" t="s">
        <v>2255</v>
      </c>
      <c r="J11" s="215">
        <f>TRUNC(SUM(J9:J10),2)</f>
        <v>0.41</v>
      </c>
    </row>
    <row r="12" spans="1:10">
      <c r="A12" s="171"/>
      <c r="B12" s="172"/>
      <c r="C12" s="172"/>
      <c r="D12" s="172"/>
      <c r="E12" s="172"/>
      <c r="F12" s="172"/>
      <c r="G12" s="172"/>
      <c r="H12" s="172"/>
      <c r="I12" s="172"/>
      <c r="J12" s="173"/>
    </row>
    <row r="13" spans="1:10">
      <c r="A13" s="175" t="s">
        <v>2310</v>
      </c>
      <c r="B13" s="176"/>
      <c r="C13" s="177"/>
      <c r="D13" s="172"/>
      <c r="E13" s="172"/>
      <c r="F13" s="172"/>
      <c r="G13" s="172"/>
      <c r="H13" s="172"/>
      <c r="I13" s="172" t="s">
        <v>1969</v>
      </c>
      <c r="J13" s="173"/>
    </row>
    <row r="14" spans="1:10">
      <c r="A14" s="178" t="s">
        <v>2311</v>
      </c>
      <c r="B14" s="179" t="s">
        <v>2312</v>
      </c>
      <c r="C14" s="180" t="s">
        <v>2313</v>
      </c>
      <c r="D14" s="181"/>
      <c r="E14" s="172"/>
      <c r="F14" s="172"/>
      <c r="G14" s="172"/>
      <c r="H14" s="172"/>
      <c r="I14" s="172"/>
      <c r="J14" s="173"/>
    </row>
    <row r="15" spans="1:10">
      <c r="A15" s="182" t="s">
        <v>2314</v>
      </c>
      <c r="B15" s="183">
        <v>1.5737000000000001</v>
      </c>
      <c r="C15" s="184">
        <f>J11</f>
        <v>0.41</v>
      </c>
      <c r="D15" s="185"/>
      <c r="E15" s="172"/>
      <c r="F15" s="172"/>
      <c r="G15" s="172"/>
      <c r="H15" s="172"/>
      <c r="I15" s="172"/>
      <c r="J15" s="173"/>
    </row>
    <row r="16" spans="1:10">
      <c r="A16" s="182" t="s">
        <v>2315</v>
      </c>
      <c r="B16" s="186"/>
      <c r="C16" s="184">
        <v>0</v>
      </c>
      <c r="D16" s="185"/>
      <c r="E16" s="172"/>
      <c r="F16" s="172"/>
      <c r="G16" s="172"/>
      <c r="H16" s="172"/>
      <c r="I16" s="172"/>
      <c r="J16" s="173"/>
    </row>
    <row r="17" spans="1:10">
      <c r="A17" s="182" t="s">
        <v>2316</v>
      </c>
      <c r="B17" s="186"/>
      <c r="C17" s="184">
        <v>0</v>
      </c>
      <c r="D17" s="185"/>
      <c r="E17" s="172"/>
      <c r="F17" s="172"/>
      <c r="G17" s="172"/>
      <c r="H17" s="172"/>
      <c r="I17" s="172"/>
      <c r="J17" s="173"/>
    </row>
    <row r="18" spans="1:10">
      <c r="A18" s="182" t="s">
        <v>2317</v>
      </c>
      <c r="B18" s="186"/>
      <c r="C18" s="184">
        <v>1</v>
      </c>
      <c r="D18" s="185"/>
      <c r="E18" s="172"/>
      <c r="F18" s="172"/>
      <c r="G18" s="172"/>
      <c r="H18" s="172"/>
      <c r="I18" s="172"/>
      <c r="J18" s="173"/>
    </row>
    <row r="19" spans="1:10">
      <c r="A19" s="182" t="s">
        <v>2318</v>
      </c>
      <c r="B19" s="186"/>
      <c r="C19" s="184">
        <f>C15+C17</f>
        <v>0.41</v>
      </c>
      <c r="D19" s="185"/>
      <c r="E19" s="172"/>
      <c r="F19" s="172"/>
      <c r="G19" s="187"/>
      <c r="H19" s="172"/>
      <c r="I19" s="172"/>
      <c r="J19" s="173"/>
    </row>
    <row r="20" spans="1:10" ht="25.5">
      <c r="A20" s="188" t="s">
        <v>2319</v>
      </c>
      <c r="B20" s="186"/>
      <c r="C20" s="184">
        <f>(C15+C17)/C18</f>
        <v>0.41</v>
      </c>
      <c r="D20" s="185"/>
      <c r="E20" s="172"/>
      <c r="F20" s="172"/>
      <c r="G20" s="172"/>
      <c r="H20" s="172"/>
      <c r="I20" s="172"/>
      <c r="J20" s="173"/>
    </row>
    <row r="21" spans="1:10">
      <c r="A21" s="182" t="s">
        <v>2320</v>
      </c>
      <c r="B21" s="186"/>
      <c r="C21" s="184">
        <f>C16+C20</f>
        <v>0.41</v>
      </c>
      <c r="D21" s="185"/>
      <c r="E21" s="172"/>
      <c r="F21" s="172"/>
      <c r="G21" s="172"/>
      <c r="H21" s="172"/>
      <c r="I21" s="172"/>
      <c r="J21" s="173"/>
    </row>
    <row r="22" spans="1:10">
      <c r="A22" s="189" t="s">
        <v>2321</v>
      </c>
      <c r="B22" s="183">
        <v>0</v>
      </c>
      <c r="C22" s="190">
        <f>(C21)*B22</f>
        <v>0</v>
      </c>
      <c r="D22" s="185"/>
      <c r="E22" s="172"/>
      <c r="F22" s="172"/>
      <c r="G22" s="172"/>
      <c r="H22" s="172"/>
      <c r="I22" s="172"/>
      <c r="J22" s="173"/>
    </row>
    <row r="23" spans="1:10">
      <c r="A23" s="191" t="s">
        <v>2322</v>
      </c>
      <c r="B23" s="395">
        <f>C21+C22</f>
        <v>0.41</v>
      </c>
      <c r="C23" s="395"/>
      <c r="D23" s="192"/>
      <c r="E23" s="193"/>
      <c r="F23" s="193"/>
      <c r="G23" s="193"/>
      <c r="H23" s="193"/>
      <c r="I23" s="193"/>
      <c r="J23" s="194"/>
    </row>
  </sheetData>
  <mergeCells count="16">
    <mergeCell ref="B23:C23"/>
    <mergeCell ref="G6:G7"/>
    <mergeCell ref="H6:H7"/>
    <mergeCell ref="I6:I7"/>
    <mergeCell ref="J6:J7"/>
    <mergeCell ref="A8:J8"/>
    <mergeCell ref="A6:A7"/>
    <mergeCell ref="B6:B7"/>
    <mergeCell ref="C6:C7"/>
    <mergeCell ref="D6:D7"/>
    <mergeCell ref="E6:F6"/>
    <mergeCell ref="A1:J1"/>
    <mergeCell ref="B2:J2"/>
    <mergeCell ref="B3:J3"/>
    <mergeCell ref="B4:J4"/>
    <mergeCell ref="B5:J5"/>
  </mergeCells>
  <pageMargins left="0.51180555555555596" right="0.51180555555555596" top="0.78749999999999998" bottom="0.78749999999999998" header="0.511811023622047" footer="0.511811023622047"/>
  <pageSetup scale="63" orientation="portrait" horizontalDpi="300" verticalDpi="3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J29"/>
  <sheetViews>
    <sheetView view="pageBreakPreview" zoomScale="85" zoomScaleNormal="100" zoomScalePageLayoutView="85" workbookViewId="0">
      <selection activeCell="K10" sqref="K10"/>
    </sheetView>
  </sheetViews>
  <sheetFormatPr defaultColWidth="8.5703125" defaultRowHeight="15"/>
  <cols>
    <col min="1" max="1" width="30.28515625" customWidth="1"/>
    <col min="2" max="6" width="12.28515625" customWidth="1"/>
    <col min="7" max="7" width="13.7109375" customWidth="1"/>
    <col min="8" max="8" width="12.28515625" customWidth="1"/>
    <col min="9" max="9" width="13.7109375" customWidth="1"/>
    <col min="10" max="10" width="13.5703125" customWidth="1"/>
  </cols>
  <sheetData>
    <row r="1" spans="1:10" ht="22.35" customHeight="1">
      <c r="A1" s="389" t="s">
        <v>2245</v>
      </c>
      <c r="B1" s="389"/>
      <c r="C1" s="389"/>
      <c r="D1" s="389"/>
      <c r="E1" s="389"/>
      <c r="F1" s="389"/>
      <c r="G1" s="389"/>
      <c r="H1" s="389"/>
      <c r="I1" s="389"/>
      <c r="J1" s="389"/>
    </row>
    <row r="2" spans="1:10" ht="14.45" customHeight="1">
      <c r="A2" s="149" t="s">
        <v>2246</v>
      </c>
      <c r="B2" s="390" t="s">
        <v>2247</v>
      </c>
      <c r="C2" s="390"/>
      <c r="D2" s="390"/>
      <c r="E2" s="390"/>
      <c r="F2" s="390"/>
      <c r="G2" s="390"/>
      <c r="H2" s="390"/>
      <c r="I2" s="390"/>
      <c r="J2" s="390"/>
    </row>
    <row r="3" spans="1:10" ht="15.75">
      <c r="A3" s="150" t="s">
        <v>8</v>
      </c>
      <c r="B3" s="391">
        <v>18</v>
      </c>
      <c r="C3" s="391"/>
      <c r="D3" s="391"/>
      <c r="E3" s="391"/>
      <c r="F3" s="391"/>
      <c r="G3" s="391"/>
      <c r="H3" s="391"/>
      <c r="I3" s="391"/>
      <c r="J3" s="391"/>
    </row>
    <row r="4" spans="1:10" ht="14.85" customHeight="1">
      <c r="A4" s="150" t="s">
        <v>10</v>
      </c>
      <c r="B4" s="392" t="s">
        <v>1896</v>
      </c>
      <c r="C4" s="392"/>
      <c r="D4" s="392"/>
      <c r="E4" s="392"/>
      <c r="F4" s="392"/>
      <c r="G4" s="392"/>
      <c r="H4" s="392"/>
      <c r="I4" s="392"/>
      <c r="J4" s="392"/>
    </row>
    <row r="5" spans="1:10" ht="14.85" customHeight="1">
      <c r="A5" s="151" t="s">
        <v>2248</v>
      </c>
      <c r="B5" s="393" t="s">
        <v>243</v>
      </c>
      <c r="C5" s="393"/>
      <c r="D5" s="393"/>
      <c r="E5" s="393"/>
      <c r="F5" s="393"/>
      <c r="G5" s="393"/>
      <c r="H5" s="393"/>
      <c r="I5" s="393"/>
      <c r="J5" s="393"/>
    </row>
    <row r="6" spans="1:10" ht="14.45" customHeight="1">
      <c r="A6" s="398" t="s">
        <v>2249</v>
      </c>
      <c r="B6" s="399" t="s">
        <v>2250</v>
      </c>
      <c r="C6" s="399" t="s">
        <v>1955</v>
      </c>
      <c r="D6" s="399" t="s">
        <v>2251</v>
      </c>
      <c r="E6" s="400"/>
      <c r="F6" s="400"/>
      <c r="G6" s="396" t="s">
        <v>2252</v>
      </c>
      <c r="H6" s="396" t="s">
        <v>2253</v>
      </c>
      <c r="I6" s="396" t="s">
        <v>2254</v>
      </c>
      <c r="J6" s="397" t="s">
        <v>2255</v>
      </c>
    </row>
    <row r="7" spans="1:10">
      <c r="A7" s="398"/>
      <c r="B7" s="399"/>
      <c r="C7" s="399"/>
      <c r="D7" s="399"/>
      <c r="E7" s="152" t="s">
        <v>2256</v>
      </c>
      <c r="F7" s="152" t="s">
        <v>2257</v>
      </c>
      <c r="G7" s="396"/>
      <c r="H7" s="396"/>
      <c r="I7" s="396"/>
      <c r="J7" s="397"/>
    </row>
    <row r="8" spans="1:10" ht="14.85" customHeight="1">
      <c r="A8" s="402" t="s">
        <v>2258</v>
      </c>
      <c r="B8" s="402"/>
      <c r="C8" s="402"/>
      <c r="D8" s="402"/>
      <c r="E8" s="402"/>
      <c r="F8" s="402"/>
      <c r="G8" s="402"/>
      <c r="H8" s="402"/>
      <c r="I8" s="402"/>
      <c r="J8" s="402"/>
    </row>
    <row r="9" spans="1:10" ht="42.75">
      <c r="A9" s="233" t="s">
        <v>2369</v>
      </c>
      <c r="B9" s="234" t="s">
        <v>2260</v>
      </c>
      <c r="C9" s="235" t="s">
        <v>2407</v>
      </c>
      <c r="D9" s="235" t="s">
        <v>133</v>
      </c>
      <c r="E9" s="236">
        <v>6.2E-2</v>
      </c>
      <c r="F9" s="237">
        <v>1</v>
      </c>
      <c r="G9" s="239">
        <v>21.28</v>
      </c>
      <c r="H9" s="237">
        <v>0</v>
      </c>
      <c r="I9" s="239">
        <v>21.28</v>
      </c>
      <c r="J9" s="240">
        <f>TRUNC(SUM(E9*I9),3)</f>
        <v>1.319</v>
      </c>
    </row>
    <row r="10" spans="1:10" ht="42.75">
      <c r="A10" s="250" t="s">
        <v>2434</v>
      </c>
      <c r="B10" s="242" t="s">
        <v>2260</v>
      </c>
      <c r="C10" s="251" t="s">
        <v>2435</v>
      </c>
      <c r="D10" s="251" t="s">
        <v>133</v>
      </c>
      <c r="E10" s="252">
        <v>5.6000000000000001E-2</v>
      </c>
      <c r="F10" s="253">
        <v>1</v>
      </c>
      <c r="G10" s="254">
        <v>29.28</v>
      </c>
      <c r="H10" s="245">
        <v>0</v>
      </c>
      <c r="I10" s="254">
        <v>29.28</v>
      </c>
      <c r="J10" s="255">
        <f>TRUNC(SUM(E10*I10),3)</f>
        <v>1.639</v>
      </c>
    </row>
    <row r="11" spans="1:10" ht="85.5">
      <c r="A11" s="256" t="s">
        <v>2436</v>
      </c>
      <c r="B11" s="257" t="s">
        <v>2437</v>
      </c>
      <c r="C11" s="243" t="s">
        <v>2438</v>
      </c>
      <c r="D11" s="251" t="s">
        <v>133</v>
      </c>
      <c r="E11" s="244">
        <v>8.9999999999999998E-4</v>
      </c>
      <c r="F11" s="245">
        <v>1</v>
      </c>
      <c r="G11" s="249">
        <v>27.4</v>
      </c>
      <c r="H11" s="245">
        <v>0</v>
      </c>
      <c r="I11" s="249">
        <v>27.4</v>
      </c>
      <c r="J11" s="255">
        <f>TRUNC(SUM(E11*I11),3)</f>
        <v>2.4E-2</v>
      </c>
    </row>
    <row r="12" spans="1:10" ht="85.5">
      <c r="A12" s="256" t="s">
        <v>2439</v>
      </c>
      <c r="B12" s="257" t="s">
        <v>2440</v>
      </c>
      <c r="C12" s="243" t="s">
        <v>2441</v>
      </c>
      <c r="D12" s="251" t="s">
        <v>133</v>
      </c>
      <c r="E12" s="244">
        <v>1.1999999999999999E-3</v>
      </c>
      <c r="F12" s="245">
        <v>1</v>
      </c>
      <c r="G12" s="249">
        <v>26.43</v>
      </c>
      <c r="H12" s="245">
        <v>0</v>
      </c>
      <c r="I12" s="249">
        <v>26.43</v>
      </c>
      <c r="J12" s="255">
        <f>TRUNC(SUM(E12*I12),3)</f>
        <v>3.1E-2</v>
      </c>
    </row>
    <row r="13" spans="1:10">
      <c r="A13" s="214"/>
      <c r="B13" s="160"/>
      <c r="C13" s="160"/>
      <c r="D13" s="160"/>
      <c r="E13" s="161"/>
      <c r="F13" s="161"/>
      <c r="G13" s="161"/>
      <c r="H13" s="162"/>
      <c r="I13" s="169" t="s">
        <v>2255</v>
      </c>
      <c r="J13" s="215">
        <f>TRUNC(SUM(J9:J12),2)</f>
        <v>3.01</v>
      </c>
    </row>
    <row r="14" spans="1:10" ht="14.85" customHeight="1">
      <c r="A14" s="394" t="s">
        <v>2272</v>
      </c>
      <c r="B14" s="394"/>
      <c r="C14" s="394"/>
      <c r="D14" s="394"/>
      <c r="E14" s="394"/>
      <c r="F14" s="394"/>
      <c r="G14" s="394"/>
      <c r="H14" s="394"/>
      <c r="I14" s="394"/>
      <c r="J14" s="394"/>
    </row>
    <row r="15" spans="1:10" ht="28.9" customHeight="1">
      <c r="A15" s="217" t="s">
        <v>2442</v>
      </c>
      <c r="B15" s="220" t="s">
        <v>1442</v>
      </c>
      <c r="C15" s="229">
        <v>11029</v>
      </c>
      <c r="D15" s="251" t="s">
        <v>133</v>
      </c>
      <c r="E15" s="225">
        <v>4.1500000000000004</v>
      </c>
      <c r="F15" s="210">
        <v>1</v>
      </c>
      <c r="G15" s="232">
        <v>2.41</v>
      </c>
      <c r="H15" s="212">
        <v>0</v>
      </c>
      <c r="I15" s="258">
        <f>G15</f>
        <v>2.41</v>
      </c>
      <c r="J15" s="259">
        <f>TRUNC(SUM(E15*I15),3)</f>
        <v>10.000999999999999</v>
      </c>
    </row>
    <row r="16" spans="1:10" ht="127.9" customHeight="1">
      <c r="A16" s="216" t="s">
        <v>2443</v>
      </c>
      <c r="B16" s="87" t="s">
        <v>25</v>
      </c>
      <c r="C16" s="229" t="s">
        <v>2330</v>
      </c>
      <c r="D16" s="229" t="s">
        <v>2330</v>
      </c>
      <c r="E16" s="225">
        <v>1.1459999999999999</v>
      </c>
      <c r="F16" s="210">
        <v>1</v>
      </c>
      <c r="G16" s="228">
        <v>249.2</v>
      </c>
      <c r="H16" s="210">
        <v>0</v>
      </c>
      <c r="I16" s="258">
        <f>G16</f>
        <v>249.2</v>
      </c>
      <c r="J16" s="259">
        <f>TRUNC(SUM(E16*I16),3)</f>
        <v>285.58300000000003</v>
      </c>
    </row>
    <row r="17" spans="1:10">
      <c r="A17" s="166"/>
      <c r="B17" s="167"/>
      <c r="C17" s="167"/>
      <c r="D17" s="167"/>
      <c r="E17" s="167"/>
      <c r="F17" s="167"/>
      <c r="G17" s="167"/>
      <c r="H17" s="168"/>
      <c r="I17" s="169" t="s">
        <v>2255</v>
      </c>
      <c r="J17" s="170">
        <f>TRUNC(SUM(J15:J16),2)</f>
        <v>295.58</v>
      </c>
    </row>
    <row r="18" spans="1:10">
      <c r="A18" s="171"/>
      <c r="B18" s="172"/>
      <c r="C18" s="172"/>
      <c r="D18" s="172"/>
      <c r="E18" s="172"/>
      <c r="F18" s="172"/>
      <c r="G18" s="172"/>
      <c r="H18" s="172"/>
      <c r="I18" s="172"/>
      <c r="J18" s="173"/>
    </row>
    <row r="19" spans="1:10">
      <c r="A19" s="175" t="s">
        <v>2310</v>
      </c>
      <c r="B19" s="176"/>
      <c r="C19" s="177"/>
      <c r="D19" s="172"/>
      <c r="E19" s="172"/>
      <c r="F19" s="172"/>
      <c r="G19" s="172"/>
      <c r="H19" s="172"/>
      <c r="I19" s="172" t="s">
        <v>1969</v>
      </c>
      <c r="J19" s="173"/>
    </row>
    <row r="20" spans="1:10">
      <c r="A20" s="178" t="s">
        <v>2311</v>
      </c>
      <c r="B20" s="179" t="s">
        <v>2312</v>
      </c>
      <c r="C20" s="180" t="s">
        <v>2313</v>
      </c>
      <c r="D20" s="181"/>
      <c r="E20" s="172"/>
      <c r="F20" s="172"/>
      <c r="G20" s="172"/>
      <c r="H20" s="172"/>
      <c r="I20" s="172"/>
      <c r="J20" s="173"/>
    </row>
    <row r="21" spans="1:10">
      <c r="A21" s="182" t="s">
        <v>2314</v>
      </c>
      <c r="B21" s="183">
        <v>1.5737000000000001</v>
      </c>
      <c r="C21" s="184">
        <f>J13</f>
        <v>3.01</v>
      </c>
      <c r="D21" s="185"/>
      <c r="E21" s="172"/>
      <c r="F21" s="172"/>
      <c r="G21" s="172"/>
      <c r="H21" s="172"/>
      <c r="I21" s="172"/>
      <c r="J21" s="173"/>
    </row>
    <row r="22" spans="1:10">
      <c r="A22" s="182" t="s">
        <v>2315</v>
      </c>
      <c r="B22" s="186"/>
      <c r="C22" s="184">
        <f>J17</f>
        <v>295.58</v>
      </c>
      <c r="D22" s="185"/>
      <c r="E22" s="172"/>
      <c r="F22" s="172"/>
      <c r="G22" s="172"/>
      <c r="H22" s="172"/>
      <c r="I22" s="172"/>
      <c r="J22" s="173"/>
    </row>
    <row r="23" spans="1:10">
      <c r="A23" s="182" t="s">
        <v>2316</v>
      </c>
      <c r="B23" s="186"/>
      <c r="C23" s="184">
        <v>0</v>
      </c>
      <c r="D23" s="185"/>
      <c r="E23" s="172"/>
      <c r="F23" s="172"/>
      <c r="G23" s="172"/>
      <c r="H23" s="172"/>
      <c r="I23" s="172"/>
      <c r="J23" s="173"/>
    </row>
    <row r="24" spans="1:10">
      <c r="A24" s="182" t="s">
        <v>2317</v>
      </c>
      <c r="B24" s="186"/>
      <c r="C24" s="184">
        <v>1</v>
      </c>
      <c r="D24" s="185"/>
      <c r="E24" s="172"/>
      <c r="F24" s="172"/>
      <c r="G24" s="172"/>
      <c r="H24" s="172"/>
      <c r="I24" s="172"/>
      <c r="J24" s="173"/>
    </row>
    <row r="25" spans="1:10">
      <c r="A25" s="182" t="s">
        <v>2318</v>
      </c>
      <c r="B25" s="186"/>
      <c r="C25" s="184">
        <f>C21+C23</f>
        <v>3.01</v>
      </c>
      <c r="D25" s="185"/>
      <c r="E25" s="172"/>
      <c r="F25" s="172"/>
      <c r="G25" s="187"/>
      <c r="H25" s="172"/>
      <c r="I25" s="172"/>
      <c r="J25" s="173"/>
    </row>
    <row r="26" spans="1:10" ht="25.5">
      <c r="A26" s="188" t="s">
        <v>2319</v>
      </c>
      <c r="B26" s="186"/>
      <c r="C26" s="184">
        <f>(C21+C23)/C24</f>
        <v>3.01</v>
      </c>
      <c r="D26" s="185"/>
      <c r="E26" s="172"/>
      <c r="F26" s="172"/>
      <c r="G26" s="172"/>
      <c r="H26" s="172"/>
      <c r="I26" s="172"/>
      <c r="J26" s="173"/>
    </row>
    <row r="27" spans="1:10">
      <c r="A27" s="182" t="s">
        <v>2320</v>
      </c>
      <c r="B27" s="186"/>
      <c r="C27" s="184">
        <f>C22+C26</f>
        <v>298.58999999999997</v>
      </c>
      <c r="D27" s="185"/>
      <c r="E27" s="172"/>
      <c r="F27" s="172"/>
      <c r="G27" s="172"/>
      <c r="H27" s="172"/>
      <c r="I27" s="172"/>
      <c r="J27" s="173"/>
    </row>
    <row r="28" spans="1:10">
      <c r="A28" s="189" t="s">
        <v>2321</v>
      </c>
      <c r="B28" s="183">
        <v>0</v>
      </c>
      <c r="C28" s="190">
        <f>(C27)*B28</f>
        <v>0</v>
      </c>
      <c r="D28" s="185"/>
      <c r="E28" s="172"/>
      <c r="F28" s="172"/>
      <c r="G28" s="172"/>
      <c r="H28" s="172"/>
      <c r="I28" s="172"/>
      <c r="J28" s="173"/>
    </row>
    <row r="29" spans="1:10">
      <c r="A29" s="191" t="s">
        <v>2322</v>
      </c>
      <c r="B29" s="395">
        <f>C27+C28</f>
        <v>298.58999999999997</v>
      </c>
      <c r="C29" s="395"/>
      <c r="D29" s="192"/>
      <c r="E29" s="193"/>
      <c r="F29" s="193"/>
      <c r="G29" s="193"/>
      <c r="H29" s="193"/>
      <c r="I29" s="193"/>
      <c r="J29" s="194"/>
    </row>
  </sheetData>
  <mergeCells count="17">
    <mergeCell ref="A14:J14"/>
    <mergeCell ref="B29:C29"/>
    <mergeCell ref="G6:G7"/>
    <mergeCell ref="H6:H7"/>
    <mergeCell ref="I6:I7"/>
    <mergeCell ref="J6:J7"/>
    <mergeCell ref="A8:J8"/>
    <mergeCell ref="A6:A7"/>
    <mergeCell ref="B6:B7"/>
    <mergeCell ref="C6:C7"/>
    <mergeCell ref="D6:D7"/>
    <mergeCell ref="E6:F6"/>
    <mergeCell ref="A1:J1"/>
    <mergeCell ref="B2:J2"/>
    <mergeCell ref="B3:J3"/>
    <mergeCell ref="B4:J4"/>
    <mergeCell ref="B5:J5"/>
  </mergeCells>
  <pageMargins left="0.51180555555555596" right="0.51180555555555596" top="0.78749999999999998" bottom="0.78749999999999998" header="0.511811023622047" footer="0.511811023622047"/>
  <pageSetup scale="63" orientation="portrait" horizontalDpi="300" verticalDpi="3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42C5B-D192-435B-B674-36D640F89695}">
  <dimension ref="A1:J38"/>
  <sheetViews>
    <sheetView view="pageBreakPreview" topLeftCell="A10" zoomScale="85" zoomScaleNormal="100" zoomScalePageLayoutView="85" workbookViewId="0">
      <selection activeCell="K10" sqref="K10"/>
    </sheetView>
  </sheetViews>
  <sheetFormatPr defaultColWidth="8.5703125" defaultRowHeight="15"/>
  <cols>
    <col min="1" max="1" width="30.28515625" customWidth="1"/>
    <col min="2" max="6" width="12.28515625" customWidth="1"/>
    <col min="7" max="7" width="13.7109375" customWidth="1"/>
    <col min="8" max="8" width="12.28515625" customWidth="1"/>
    <col min="9" max="9" width="13.7109375" customWidth="1"/>
    <col min="10" max="10" width="13.5703125" customWidth="1"/>
  </cols>
  <sheetData>
    <row r="1" spans="1:10" ht="22.35" customHeight="1" thickBot="1">
      <c r="A1" s="389" t="s">
        <v>2245</v>
      </c>
      <c r="B1" s="389"/>
      <c r="C1" s="389"/>
      <c r="D1" s="389"/>
      <c r="E1" s="389"/>
      <c r="F1" s="389"/>
      <c r="G1" s="389"/>
      <c r="H1" s="389"/>
      <c r="I1" s="389"/>
      <c r="J1" s="389"/>
    </row>
    <row r="2" spans="1:10" ht="14.45" customHeight="1">
      <c r="A2" s="149" t="s">
        <v>2246</v>
      </c>
      <c r="B2" s="390" t="s">
        <v>2247</v>
      </c>
      <c r="C2" s="390"/>
      <c r="D2" s="390"/>
      <c r="E2" s="390"/>
      <c r="F2" s="390"/>
      <c r="G2" s="390"/>
      <c r="H2" s="390"/>
      <c r="I2" s="390"/>
      <c r="J2" s="390"/>
    </row>
    <row r="3" spans="1:10" ht="15.75">
      <c r="A3" s="150" t="s">
        <v>8</v>
      </c>
      <c r="B3" s="391">
        <v>13</v>
      </c>
      <c r="C3" s="391"/>
      <c r="D3" s="391"/>
      <c r="E3" s="391"/>
      <c r="F3" s="391"/>
      <c r="G3" s="391"/>
      <c r="H3" s="391"/>
      <c r="I3" s="391"/>
      <c r="J3" s="391"/>
    </row>
    <row r="4" spans="1:10" ht="14.85" customHeight="1">
      <c r="A4" s="150" t="s">
        <v>10</v>
      </c>
      <c r="B4" s="392" t="s">
        <v>2502</v>
      </c>
      <c r="C4" s="392"/>
      <c r="D4" s="392"/>
      <c r="E4" s="392"/>
      <c r="F4" s="392"/>
      <c r="G4" s="392"/>
      <c r="H4" s="392"/>
      <c r="I4" s="392"/>
      <c r="J4" s="392"/>
    </row>
    <row r="5" spans="1:10" ht="14.85" customHeight="1" thickBot="1">
      <c r="A5" s="151" t="s">
        <v>2248</v>
      </c>
      <c r="B5" s="393" t="s">
        <v>48</v>
      </c>
      <c r="C5" s="393"/>
      <c r="D5" s="393"/>
      <c r="E5" s="393"/>
      <c r="F5" s="393"/>
      <c r="G5" s="393"/>
      <c r="H5" s="393"/>
      <c r="I5" s="393"/>
      <c r="J5" s="393"/>
    </row>
    <row r="6" spans="1:10" ht="14.45" customHeight="1" thickBot="1">
      <c r="A6" s="398" t="s">
        <v>2249</v>
      </c>
      <c r="B6" s="399" t="s">
        <v>2250</v>
      </c>
      <c r="C6" s="399" t="s">
        <v>1955</v>
      </c>
      <c r="D6" s="399" t="s">
        <v>2251</v>
      </c>
      <c r="E6" s="400"/>
      <c r="F6" s="400"/>
      <c r="G6" s="396" t="s">
        <v>2252</v>
      </c>
      <c r="H6" s="396" t="s">
        <v>2253</v>
      </c>
      <c r="I6" s="396" t="s">
        <v>2254</v>
      </c>
      <c r="J6" s="397" t="s">
        <v>2255</v>
      </c>
    </row>
    <row r="7" spans="1:10" ht="15.75" thickBot="1">
      <c r="A7" s="398"/>
      <c r="B7" s="399"/>
      <c r="C7" s="399"/>
      <c r="D7" s="399"/>
      <c r="E7" s="152" t="s">
        <v>2256</v>
      </c>
      <c r="F7" s="152" t="s">
        <v>2257</v>
      </c>
      <c r="G7" s="396"/>
      <c r="H7" s="396"/>
      <c r="I7" s="396"/>
      <c r="J7" s="397"/>
    </row>
    <row r="8" spans="1:10" ht="14.85" customHeight="1" thickBot="1">
      <c r="A8" s="402" t="s">
        <v>2258</v>
      </c>
      <c r="B8" s="402"/>
      <c r="C8" s="402"/>
      <c r="D8" s="402"/>
      <c r="E8" s="402"/>
      <c r="F8" s="402"/>
      <c r="G8" s="402"/>
      <c r="H8" s="402"/>
      <c r="I8" s="402"/>
      <c r="J8" s="402"/>
    </row>
    <row r="9" spans="1:10" ht="38.25">
      <c r="A9" s="198" t="s">
        <v>2401</v>
      </c>
      <c r="B9" s="199" t="s">
        <v>2260</v>
      </c>
      <c r="C9" s="200" t="s">
        <v>2402</v>
      </c>
      <c r="D9" s="200" t="s">
        <v>133</v>
      </c>
      <c r="E9" s="201">
        <v>4.6769999999999996</v>
      </c>
      <c r="F9" s="202">
        <v>1</v>
      </c>
      <c r="G9" s="203">
        <v>23.68</v>
      </c>
      <c r="H9" s="202">
        <v>0</v>
      </c>
      <c r="I9" s="204">
        <f>G9</f>
        <v>23.68</v>
      </c>
      <c r="J9" s="205">
        <f>TRUNC(SUM(E9*I9),3)</f>
        <v>110.751</v>
      </c>
    </row>
    <row r="10" spans="1:10" ht="25.5">
      <c r="A10" s="206" t="s">
        <v>2403</v>
      </c>
      <c r="B10" s="207" t="s">
        <v>2260</v>
      </c>
      <c r="C10" s="208" t="s">
        <v>2404</v>
      </c>
      <c r="D10" s="208" t="s">
        <v>133</v>
      </c>
      <c r="E10" s="209">
        <v>4.6769999999999996</v>
      </c>
      <c r="F10" s="210">
        <v>1</v>
      </c>
      <c r="G10" s="211">
        <v>31.21</v>
      </c>
      <c r="H10" s="212">
        <v>0</v>
      </c>
      <c r="I10" s="157">
        <f>G10</f>
        <v>31.21</v>
      </c>
      <c r="J10" s="213">
        <f>TRUNC(SUM(E10*I10),3)</f>
        <v>145.96899999999999</v>
      </c>
    </row>
    <row r="11" spans="1:10" ht="25.5">
      <c r="A11" s="206" t="s">
        <v>2405</v>
      </c>
      <c r="B11" s="207" t="s">
        <v>2260</v>
      </c>
      <c r="C11" s="208" t="s">
        <v>2406</v>
      </c>
      <c r="D11" s="208" t="s">
        <v>133</v>
      </c>
      <c r="E11" s="209">
        <v>6.0590000000000002</v>
      </c>
      <c r="F11" s="210">
        <v>1</v>
      </c>
      <c r="G11" s="211">
        <v>27.52</v>
      </c>
      <c r="H11" s="210">
        <v>0</v>
      </c>
      <c r="I11" s="157">
        <f>G11</f>
        <v>27.52</v>
      </c>
      <c r="J11" s="213">
        <f>TRUNC(SUM(E11*I11),3)</f>
        <v>166.74299999999999</v>
      </c>
    </row>
    <row r="12" spans="1:10" ht="25.5">
      <c r="A12" s="206" t="s">
        <v>2369</v>
      </c>
      <c r="B12" s="207" t="s">
        <v>2260</v>
      </c>
      <c r="C12" s="208" t="s">
        <v>2407</v>
      </c>
      <c r="D12" s="208" t="s">
        <v>133</v>
      </c>
      <c r="E12" s="209">
        <v>40.393000000000001</v>
      </c>
      <c r="F12" s="210">
        <v>1</v>
      </c>
      <c r="G12" s="211">
        <v>21.28</v>
      </c>
      <c r="H12" s="210">
        <v>0</v>
      </c>
      <c r="I12" s="157">
        <f>G12</f>
        <v>21.28</v>
      </c>
      <c r="J12" s="213">
        <f>TRUNC(SUM(E12*I12),3)</f>
        <v>859.56299999999999</v>
      </c>
    </row>
    <row r="13" spans="1:10" ht="38.25">
      <c r="A13" s="206" t="s">
        <v>2408</v>
      </c>
      <c r="B13" s="207" t="s">
        <v>2260</v>
      </c>
      <c r="C13" s="208" t="s">
        <v>2409</v>
      </c>
      <c r="D13" s="208" t="s">
        <v>133</v>
      </c>
      <c r="E13" s="209">
        <v>0.63800000000000001</v>
      </c>
      <c r="F13" s="210">
        <v>1</v>
      </c>
      <c r="G13" s="211">
        <v>39.39</v>
      </c>
      <c r="H13" s="210">
        <v>0</v>
      </c>
      <c r="I13" s="157">
        <f>G13</f>
        <v>39.39</v>
      </c>
      <c r="J13" s="213">
        <f>TRUNC(SUM(E13*I13),3)</f>
        <v>25.13</v>
      </c>
    </row>
    <row r="14" spans="1:10" ht="15.75" thickBot="1">
      <c r="A14" s="214"/>
      <c r="B14" s="160"/>
      <c r="C14" s="160"/>
      <c r="D14" s="160"/>
      <c r="E14" s="161"/>
      <c r="F14" s="161"/>
      <c r="G14" s="161"/>
      <c r="H14" s="162"/>
      <c r="I14" s="169" t="s">
        <v>2255</v>
      </c>
      <c r="J14" s="215">
        <f>TRUNC(SUM(J9:J10),2)</f>
        <v>256.72000000000003</v>
      </c>
    </row>
    <row r="15" spans="1:10" ht="14.85" customHeight="1" thickBot="1">
      <c r="A15" s="394" t="s">
        <v>2272</v>
      </c>
      <c r="B15" s="394"/>
      <c r="C15" s="394"/>
      <c r="D15" s="394"/>
      <c r="E15" s="394"/>
      <c r="F15" s="394"/>
      <c r="G15" s="394"/>
      <c r="H15" s="394"/>
      <c r="I15" s="394"/>
      <c r="J15" s="394"/>
    </row>
    <row r="16" spans="1:10" ht="28.9" customHeight="1">
      <c r="A16" s="216" t="s">
        <v>2410</v>
      </c>
      <c r="B16" s="87" t="s">
        <v>2250</v>
      </c>
      <c r="C16" s="87">
        <v>802</v>
      </c>
      <c r="D16" s="87" t="s">
        <v>6</v>
      </c>
      <c r="E16" s="154">
        <v>1</v>
      </c>
      <c r="F16" s="155">
        <v>1</v>
      </c>
      <c r="G16" s="156">
        <v>482.55</v>
      </c>
      <c r="H16" s="155">
        <v>0</v>
      </c>
      <c r="I16" s="157">
        <f t="shared" ref="I16:I25" si="0">G16</f>
        <v>482.55</v>
      </c>
      <c r="J16" s="158">
        <f t="shared" ref="J16:J25" si="1">TRUNC(SUM(E16*I16),3)</f>
        <v>482.55</v>
      </c>
    </row>
    <row r="17" spans="1:10" ht="45">
      <c r="A17" s="217" t="s">
        <v>2411</v>
      </c>
      <c r="B17" s="87" t="s">
        <v>2250</v>
      </c>
      <c r="C17" s="87">
        <v>367</v>
      </c>
      <c r="D17" s="87" t="s">
        <v>6</v>
      </c>
      <c r="E17" s="154">
        <v>1</v>
      </c>
      <c r="F17" s="155">
        <v>1</v>
      </c>
      <c r="G17" s="218">
        <v>579.9</v>
      </c>
      <c r="H17" s="155">
        <v>0</v>
      </c>
      <c r="I17" s="157">
        <f t="shared" si="0"/>
        <v>579.9</v>
      </c>
      <c r="J17" s="158">
        <f t="shared" si="1"/>
        <v>579.9</v>
      </c>
    </row>
    <row r="18" spans="1:10" ht="30">
      <c r="A18" s="216" t="s">
        <v>2412</v>
      </c>
      <c r="B18" s="219" t="s">
        <v>2250</v>
      </c>
      <c r="C18" s="220">
        <v>9534</v>
      </c>
      <c r="D18" s="220" t="s">
        <v>6</v>
      </c>
      <c r="E18" s="221">
        <v>1</v>
      </c>
      <c r="F18" s="210">
        <v>1</v>
      </c>
      <c r="G18" s="222">
        <v>103.12</v>
      </c>
      <c r="H18" s="210">
        <v>0</v>
      </c>
      <c r="I18" s="213">
        <f t="shared" si="0"/>
        <v>103.12</v>
      </c>
      <c r="J18" s="213">
        <f t="shared" si="1"/>
        <v>103.12</v>
      </c>
    </row>
    <row r="19" spans="1:10" ht="25.5">
      <c r="A19" s="223" t="s">
        <v>2413</v>
      </c>
      <c r="B19" s="224" t="s">
        <v>160</v>
      </c>
      <c r="C19" s="208" t="s">
        <v>2414</v>
      </c>
      <c r="D19" s="87" t="s">
        <v>6</v>
      </c>
      <c r="E19" s="225">
        <v>156</v>
      </c>
      <c r="F19" s="210">
        <v>1</v>
      </c>
      <c r="G19" s="226">
        <v>0.73</v>
      </c>
      <c r="H19" s="210">
        <v>0</v>
      </c>
      <c r="I19" s="213">
        <f t="shared" si="0"/>
        <v>0.73</v>
      </c>
      <c r="J19" s="213">
        <f t="shared" si="1"/>
        <v>113.88</v>
      </c>
    </row>
    <row r="20" spans="1:10">
      <c r="A20" s="223" t="s">
        <v>2415</v>
      </c>
      <c r="B20" s="224" t="s">
        <v>38</v>
      </c>
      <c r="C20" s="208" t="s">
        <v>2416</v>
      </c>
      <c r="D20" s="87" t="s">
        <v>6</v>
      </c>
      <c r="E20" s="225">
        <v>0.375</v>
      </c>
      <c r="F20" s="210">
        <v>1</v>
      </c>
      <c r="G20" s="226">
        <v>76.83</v>
      </c>
      <c r="H20" s="210">
        <v>0</v>
      </c>
      <c r="I20" s="213">
        <f t="shared" si="0"/>
        <v>76.83</v>
      </c>
      <c r="J20" s="213">
        <f t="shared" si="1"/>
        <v>28.811</v>
      </c>
    </row>
    <row r="21" spans="1:10">
      <c r="A21" s="223" t="s">
        <v>2417</v>
      </c>
      <c r="B21" s="224" t="s">
        <v>38</v>
      </c>
      <c r="C21" s="208" t="s">
        <v>2418</v>
      </c>
      <c r="D21" s="87" t="s">
        <v>6</v>
      </c>
      <c r="E21" s="225">
        <v>0.48099999999999998</v>
      </c>
      <c r="F21" s="210">
        <v>1</v>
      </c>
      <c r="G21" s="226">
        <v>139.30000000000001</v>
      </c>
      <c r="H21" s="210">
        <v>0</v>
      </c>
      <c r="I21" s="213">
        <f t="shared" si="0"/>
        <v>139.30000000000001</v>
      </c>
      <c r="J21" s="213">
        <f t="shared" si="1"/>
        <v>67.003</v>
      </c>
    </row>
    <row r="22" spans="1:10" ht="38.25">
      <c r="A22" s="223" t="s">
        <v>2419</v>
      </c>
      <c r="B22" s="224" t="s">
        <v>193</v>
      </c>
      <c r="C22" s="208" t="s">
        <v>2420</v>
      </c>
      <c r="D22" s="87" t="s">
        <v>6</v>
      </c>
      <c r="E22" s="225">
        <v>6</v>
      </c>
      <c r="F22" s="210">
        <v>1</v>
      </c>
      <c r="G22" s="226">
        <v>8.24</v>
      </c>
      <c r="H22" s="210">
        <v>0</v>
      </c>
      <c r="I22" s="213">
        <f t="shared" si="0"/>
        <v>8.24</v>
      </c>
      <c r="J22" s="213">
        <f t="shared" si="1"/>
        <v>49.44</v>
      </c>
    </row>
    <row r="23" spans="1:10" ht="25.5">
      <c r="A23" s="223" t="s">
        <v>2421</v>
      </c>
      <c r="B23" s="224" t="s">
        <v>253</v>
      </c>
      <c r="C23" s="208" t="s">
        <v>2422</v>
      </c>
      <c r="D23" s="87" t="s">
        <v>6</v>
      </c>
      <c r="E23" s="225">
        <v>1</v>
      </c>
      <c r="F23" s="210">
        <v>1</v>
      </c>
      <c r="G23" s="226">
        <v>5.0199999999999996</v>
      </c>
      <c r="H23" s="210">
        <v>0</v>
      </c>
      <c r="I23" s="213">
        <f t="shared" si="0"/>
        <v>5.0199999999999996</v>
      </c>
      <c r="J23" s="213">
        <f t="shared" si="1"/>
        <v>5.0199999999999996</v>
      </c>
    </row>
    <row r="24" spans="1:10" ht="25.5">
      <c r="A24" s="223" t="s">
        <v>2423</v>
      </c>
      <c r="B24" s="224" t="s">
        <v>193</v>
      </c>
      <c r="C24" s="208">
        <v>3532</v>
      </c>
      <c r="D24" s="87" t="s">
        <v>6</v>
      </c>
      <c r="E24" s="225">
        <v>12</v>
      </c>
      <c r="F24" s="210">
        <v>1</v>
      </c>
      <c r="G24" s="226">
        <v>9.0399999999999991</v>
      </c>
      <c r="H24" s="210">
        <v>0</v>
      </c>
      <c r="I24" s="213">
        <f t="shared" si="0"/>
        <v>9.0399999999999991</v>
      </c>
      <c r="J24" s="213">
        <f t="shared" si="1"/>
        <v>108.48</v>
      </c>
    </row>
    <row r="25" spans="1:10" ht="25.5">
      <c r="A25" s="223" t="s">
        <v>2424</v>
      </c>
      <c r="B25" s="224" t="s">
        <v>253</v>
      </c>
      <c r="C25" s="208" t="s">
        <v>2425</v>
      </c>
      <c r="D25" s="87" t="s">
        <v>6</v>
      </c>
      <c r="E25" s="225">
        <v>3</v>
      </c>
      <c r="F25" s="210">
        <v>1</v>
      </c>
      <c r="G25" s="226">
        <v>2.4500000000000002</v>
      </c>
      <c r="H25" s="210">
        <v>0</v>
      </c>
      <c r="I25" s="213">
        <f t="shared" si="0"/>
        <v>2.4500000000000002</v>
      </c>
      <c r="J25" s="213">
        <f t="shared" si="1"/>
        <v>7.35</v>
      </c>
    </row>
    <row r="26" spans="1:10" ht="15.75" thickBot="1">
      <c r="A26" s="166"/>
      <c r="B26" s="167"/>
      <c r="C26" s="167"/>
      <c r="D26" s="167"/>
      <c r="E26" s="167"/>
      <c r="F26" s="167"/>
      <c r="G26" s="167"/>
      <c r="H26" s="168"/>
      <c r="I26" s="169" t="s">
        <v>2255</v>
      </c>
      <c r="J26" s="170">
        <f>TRUNC(SUM(J16:J25),2)</f>
        <v>1545.55</v>
      </c>
    </row>
    <row r="27" spans="1:10" ht="15.75" thickBot="1">
      <c r="A27" s="171"/>
      <c r="B27" s="172"/>
      <c r="C27" s="172"/>
      <c r="D27" s="172"/>
      <c r="E27" s="172"/>
      <c r="F27" s="172"/>
      <c r="G27" s="172"/>
      <c r="H27" s="172"/>
      <c r="I27" s="172"/>
      <c r="J27" s="173"/>
    </row>
    <row r="28" spans="1:10" ht="15.75" thickBot="1">
      <c r="A28" s="175" t="s">
        <v>2310</v>
      </c>
      <c r="B28" s="176"/>
      <c r="C28" s="177"/>
      <c r="D28" s="172"/>
      <c r="E28" s="172"/>
      <c r="F28" s="172"/>
      <c r="G28" s="172"/>
      <c r="H28" s="172"/>
      <c r="I28" s="172" t="s">
        <v>1969</v>
      </c>
      <c r="J28" s="173"/>
    </row>
    <row r="29" spans="1:10">
      <c r="A29" s="178" t="s">
        <v>2311</v>
      </c>
      <c r="B29" s="179" t="s">
        <v>2312</v>
      </c>
      <c r="C29" s="180" t="s">
        <v>2313</v>
      </c>
      <c r="D29" s="181"/>
      <c r="E29" s="172"/>
      <c r="F29" s="172"/>
      <c r="G29" s="172"/>
      <c r="H29" s="172"/>
      <c r="I29" s="172"/>
      <c r="J29" s="173"/>
    </row>
    <row r="30" spans="1:10">
      <c r="A30" s="182" t="s">
        <v>2314</v>
      </c>
      <c r="B30" s="183">
        <v>1.5737000000000001</v>
      </c>
      <c r="C30" s="184">
        <f>J14</f>
        <v>256.72000000000003</v>
      </c>
      <c r="D30" s="185"/>
      <c r="E30" s="172"/>
      <c r="F30" s="172"/>
      <c r="G30" s="172"/>
      <c r="H30" s="172"/>
      <c r="I30" s="172"/>
      <c r="J30" s="173"/>
    </row>
    <row r="31" spans="1:10">
      <c r="A31" s="182" t="s">
        <v>2315</v>
      </c>
      <c r="B31" s="186"/>
      <c r="C31" s="184">
        <f>J26</f>
        <v>1545.55</v>
      </c>
      <c r="D31" s="185"/>
      <c r="E31" s="172"/>
      <c r="F31" s="172"/>
      <c r="G31" s="172"/>
      <c r="H31" s="172"/>
      <c r="I31" s="172"/>
      <c r="J31" s="173"/>
    </row>
    <row r="32" spans="1:10">
      <c r="A32" s="182" t="s">
        <v>2316</v>
      </c>
      <c r="B32" s="186"/>
      <c r="C32" s="184">
        <v>0</v>
      </c>
      <c r="D32" s="185"/>
      <c r="E32" s="172"/>
      <c r="F32" s="172"/>
      <c r="G32" s="172"/>
      <c r="H32" s="172"/>
      <c r="I32" s="172"/>
      <c r="J32" s="173"/>
    </row>
    <row r="33" spans="1:10">
      <c r="A33" s="182" t="s">
        <v>2317</v>
      </c>
      <c r="B33" s="186"/>
      <c r="C33" s="184">
        <v>1</v>
      </c>
      <c r="D33" s="185"/>
      <c r="E33" s="172"/>
      <c r="F33" s="172"/>
      <c r="G33" s="172"/>
      <c r="H33" s="172"/>
      <c r="I33" s="172"/>
      <c r="J33" s="173"/>
    </row>
    <row r="34" spans="1:10">
      <c r="A34" s="182" t="s">
        <v>2318</v>
      </c>
      <c r="B34" s="186"/>
      <c r="C34" s="184">
        <f>C30+C32</f>
        <v>256.72000000000003</v>
      </c>
      <c r="D34" s="185"/>
      <c r="E34" s="172"/>
      <c r="F34" s="172"/>
      <c r="G34" s="187"/>
      <c r="H34" s="172"/>
      <c r="I34" s="172"/>
      <c r="J34" s="173"/>
    </row>
    <row r="35" spans="1:10" ht="25.5">
      <c r="A35" s="188" t="s">
        <v>2319</v>
      </c>
      <c r="B35" s="186"/>
      <c r="C35" s="184">
        <f>(C30+C32)/C33</f>
        <v>256.72000000000003</v>
      </c>
      <c r="D35" s="185"/>
      <c r="E35" s="172"/>
      <c r="F35" s="172"/>
      <c r="G35" s="172"/>
      <c r="H35" s="172"/>
      <c r="I35" s="172"/>
      <c r="J35" s="173"/>
    </row>
    <row r="36" spans="1:10">
      <c r="A36" s="182" t="s">
        <v>2320</v>
      </c>
      <c r="B36" s="186"/>
      <c r="C36" s="184">
        <f>C31+C35</f>
        <v>1802.27</v>
      </c>
      <c r="D36" s="185"/>
      <c r="E36" s="172"/>
      <c r="F36" s="172"/>
      <c r="G36" s="172"/>
      <c r="H36" s="172"/>
      <c r="I36" s="172"/>
      <c r="J36" s="173"/>
    </row>
    <row r="37" spans="1:10" ht="15.75" thickBot="1">
      <c r="A37" s="189" t="s">
        <v>2321</v>
      </c>
      <c r="B37" s="183">
        <v>0</v>
      </c>
      <c r="C37" s="190">
        <f>(C36)*B37</f>
        <v>0</v>
      </c>
      <c r="D37" s="185"/>
      <c r="E37" s="172"/>
      <c r="F37" s="172"/>
      <c r="G37" s="172"/>
      <c r="H37" s="172"/>
      <c r="I37" s="172"/>
      <c r="J37" s="173"/>
    </row>
    <row r="38" spans="1:10" ht="15.75" thickBot="1">
      <c r="A38" s="191" t="s">
        <v>2322</v>
      </c>
      <c r="B38" s="395">
        <f>C36+C37</f>
        <v>1802.27</v>
      </c>
      <c r="C38" s="395"/>
      <c r="D38" s="192"/>
      <c r="E38" s="193"/>
      <c r="F38" s="193"/>
      <c r="G38" s="193"/>
      <c r="H38" s="193"/>
      <c r="I38" s="193"/>
      <c r="J38" s="194"/>
    </row>
  </sheetData>
  <mergeCells count="17">
    <mergeCell ref="B38:C38"/>
    <mergeCell ref="G6:G7"/>
    <mergeCell ref="H6:H7"/>
    <mergeCell ref="I6:I7"/>
    <mergeCell ref="J6:J7"/>
    <mergeCell ref="A8:J8"/>
    <mergeCell ref="A15:J15"/>
    <mergeCell ref="A6:A7"/>
    <mergeCell ref="B6:B7"/>
    <mergeCell ref="C6:C7"/>
    <mergeCell ref="D6:D7"/>
    <mergeCell ref="E6:F6"/>
    <mergeCell ref="A1:J1"/>
    <mergeCell ref="B2:J2"/>
    <mergeCell ref="B3:J3"/>
    <mergeCell ref="B4:J4"/>
    <mergeCell ref="B5:J5"/>
  </mergeCells>
  <pageMargins left="0.51180555555555596" right="0.51180555555555596" top="0.78749999999999998" bottom="0.78749999999999998" header="0.511811023622047" footer="0.511811023622047"/>
  <pageSetup scale="63" orientation="portrait" horizontalDpi="300" verticalDpi="3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M17"/>
  <sheetViews>
    <sheetView showGridLines="0" view="pageBreakPreview" zoomScaleNormal="100" workbookViewId="0">
      <selection activeCell="A17" sqref="A17"/>
    </sheetView>
  </sheetViews>
  <sheetFormatPr defaultColWidth="9.140625" defaultRowHeight="12.75"/>
  <cols>
    <col min="1" max="1" width="38.42578125" style="260" customWidth="1"/>
    <col min="2" max="3" width="8.42578125" style="260" customWidth="1"/>
    <col min="4" max="4" width="1.5703125" style="260" customWidth="1"/>
    <col min="5" max="5" width="15" style="260" customWidth="1"/>
    <col min="6" max="6" width="6.7109375" style="260" customWidth="1"/>
    <col min="7" max="7" width="22" style="260" customWidth="1"/>
    <col min="8" max="8" width="7.42578125" style="260" customWidth="1"/>
    <col min="9" max="256" width="9.140625" style="260"/>
    <col min="257" max="257" width="38.42578125" style="260" customWidth="1"/>
    <col min="258" max="259" width="8.42578125" style="260" customWidth="1"/>
    <col min="260" max="260" width="1.5703125" style="260" customWidth="1"/>
    <col min="261" max="261" width="15" style="260" customWidth="1"/>
    <col min="262" max="262" width="6.7109375" style="260" customWidth="1"/>
    <col min="263" max="263" width="22" style="260" customWidth="1"/>
    <col min="264" max="264" width="7.42578125" style="260" customWidth="1"/>
    <col min="265" max="512" width="9.140625" style="260"/>
    <col min="513" max="513" width="38.42578125" style="260" customWidth="1"/>
    <col min="514" max="515" width="8.42578125" style="260" customWidth="1"/>
    <col min="516" max="516" width="1.5703125" style="260" customWidth="1"/>
    <col min="517" max="517" width="15" style="260" customWidth="1"/>
    <col min="518" max="518" width="6.7109375" style="260" customWidth="1"/>
    <col min="519" max="519" width="22" style="260" customWidth="1"/>
    <col min="520" max="520" width="7.42578125" style="260" customWidth="1"/>
    <col min="521" max="768" width="9.140625" style="260"/>
    <col min="769" max="769" width="38.42578125" style="260" customWidth="1"/>
    <col min="770" max="771" width="8.42578125" style="260" customWidth="1"/>
    <col min="772" max="772" width="1.5703125" style="260" customWidth="1"/>
    <col min="773" max="773" width="15" style="260" customWidth="1"/>
    <col min="774" max="774" width="6.7109375" style="260" customWidth="1"/>
    <col min="775" max="775" width="22" style="260" customWidth="1"/>
    <col min="776" max="776" width="7.42578125" style="260" customWidth="1"/>
    <col min="777" max="1024" width="9.140625" style="260"/>
    <col min="1025" max="1025" width="38.42578125" style="260" customWidth="1"/>
    <col min="1026" max="1027" width="8.42578125" style="260" customWidth="1"/>
    <col min="1028" max="1028" width="1.5703125" style="260" customWidth="1"/>
    <col min="1029" max="1029" width="15" style="260" customWidth="1"/>
    <col min="1030" max="1030" width="6.7109375" style="260" customWidth="1"/>
    <col min="1031" max="1031" width="22" style="260" customWidth="1"/>
    <col min="1032" max="1032" width="7.42578125" style="260" customWidth="1"/>
    <col min="1033" max="1280" width="9.140625" style="260"/>
    <col min="1281" max="1281" width="38.42578125" style="260" customWidth="1"/>
    <col min="1282" max="1283" width="8.42578125" style="260" customWidth="1"/>
    <col min="1284" max="1284" width="1.5703125" style="260" customWidth="1"/>
    <col min="1285" max="1285" width="15" style="260" customWidth="1"/>
    <col min="1286" max="1286" width="6.7109375" style="260" customWidth="1"/>
    <col min="1287" max="1287" width="22" style="260" customWidth="1"/>
    <col min="1288" max="1288" width="7.42578125" style="260" customWidth="1"/>
    <col min="1289" max="1536" width="9.140625" style="260"/>
    <col min="1537" max="1537" width="38.42578125" style="260" customWidth="1"/>
    <col min="1538" max="1539" width="8.42578125" style="260" customWidth="1"/>
    <col min="1540" max="1540" width="1.5703125" style="260" customWidth="1"/>
    <col min="1541" max="1541" width="15" style="260" customWidth="1"/>
    <col min="1542" max="1542" width="6.7109375" style="260" customWidth="1"/>
    <col min="1543" max="1543" width="22" style="260" customWidth="1"/>
    <col min="1544" max="1544" width="7.42578125" style="260" customWidth="1"/>
    <col min="1545" max="1792" width="9.140625" style="260"/>
    <col min="1793" max="1793" width="38.42578125" style="260" customWidth="1"/>
    <col min="1794" max="1795" width="8.42578125" style="260" customWidth="1"/>
    <col min="1796" max="1796" width="1.5703125" style="260" customWidth="1"/>
    <col min="1797" max="1797" width="15" style="260" customWidth="1"/>
    <col min="1798" max="1798" width="6.7109375" style="260" customWidth="1"/>
    <col min="1799" max="1799" width="22" style="260" customWidth="1"/>
    <col min="1800" max="1800" width="7.42578125" style="260" customWidth="1"/>
    <col min="1801" max="2048" width="9.140625" style="260"/>
    <col min="2049" max="2049" width="38.42578125" style="260" customWidth="1"/>
    <col min="2050" max="2051" width="8.42578125" style="260" customWidth="1"/>
    <col min="2052" max="2052" width="1.5703125" style="260" customWidth="1"/>
    <col min="2053" max="2053" width="15" style="260" customWidth="1"/>
    <col min="2054" max="2054" width="6.7109375" style="260" customWidth="1"/>
    <col min="2055" max="2055" width="22" style="260" customWidth="1"/>
    <col min="2056" max="2056" width="7.42578125" style="260" customWidth="1"/>
    <col min="2057" max="2304" width="9.140625" style="260"/>
    <col min="2305" max="2305" width="38.42578125" style="260" customWidth="1"/>
    <col min="2306" max="2307" width="8.42578125" style="260" customWidth="1"/>
    <col min="2308" max="2308" width="1.5703125" style="260" customWidth="1"/>
    <col min="2309" max="2309" width="15" style="260" customWidth="1"/>
    <col min="2310" max="2310" width="6.7109375" style="260" customWidth="1"/>
    <col min="2311" max="2311" width="22" style="260" customWidth="1"/>
    <col min="2312" max="2312" width="7.42578125" style="260" customWidth="1"/>
    <col min="2313" max="2560" width="9.140625" style="260"/>
    <col min="2561" max="2561" width="38.42578125" style="260" customWidth="1"/>
    <col min="2562" max="2563" width="8.42578125" style="260" customWidth="1"/>
    <col min="2564" max="2564" width="1.5703125" style="260" customWidth="1"/>
    <col min="2565" max="2565" width="15" style="260" customWidth="1"/>
    <col min="2566" max="2566" width="6.7109375" style="260" customWidth="1"/>
    <col min="2567" max="2567" width="22" style="260" customWidth="1"/>
    <col min="2568" max="2568" width="7.42578125" style="260" customWidth="1"/>
    <col min="2569" max="2816" width="9.140625" style="260"/>
    <col min="2817" max="2817" width="38.42578125" style="260" customWidth="1"/>
    <col min="2818" max="2819" width="8.42578125" style="260" customWidth="1"/>
    <col min="2820" max="2820" width="1.5703125" style="260" customWidth="1"/>
    <col min="2821" max="2821" width="15" style="260" customWidth="1"/>
    <col min="2822" max="2822" width="6.7109375" style="260" customWidth="1"/>
    <col min="2823" max="2823" width="22" style="260" customWidth="1"/>
    <col min="2824" max="2824" width="7.42578125" style="260" customWidth="1"/>
    <col min="2825" max="3072" width="9.140625" style="260"/>
    <col min="3073" max="3073" width="38.42578125" style="260" customWidth="1"/>
    <col min="3074" max="3075" width="8.42578125" style="260" customWidth="1"/>
    <col min="3076" max="3076" width="1.5703125" style="260" customWidth="1"/>
    <col min="3077" max="3077" width="15" style="260" customWidth="1"/>
    <col min="3078" max="3078" width="6.7109375" style="260" customWidth="1"/>
    <col min="3079" max="3079" width="22" style="260" customWidth="1"/>
    <col min="3080" max="3080" width="7.42578125" style="260" customWidth="1"/>
    <col min="3081" max="3328" width="9.140625" style="260"/>
    <col min="3329" max="3329" width="38.42578125" style="260" customWidth="1"/>
    <col min="3330" max="3331" width="8.42578125" style="260" customWidth="1"/>
    <col min="3332" max="3332" width="1.5703125" style="260" customWidth="1"/>
    <col min="3333" max="3333" width="15" style="260" customWidth="1"/>
    <col min="3334" max="3334" width="6.7109375" style="260" customWidth="1"/>
    <col min="3335" max="3335" width="22" style="260" customWidth="1"/>
    <col min="3336" max="3336" width="7.42578125" style="260" customWidth="1"/>
    <col min="3337" max="3584" width="9.140625" style="260"/>
    <col min="3585" max="3585" width="38.42578125" style="260" customWidth="1"/>
    <col min="3586" max="3587" width="8.42578125" style="260" customWidth="1"/>
    <col min="3588" max="3588" width="1.5703125" style="260" customWidth="1"/>
    <col min="3589" max="3589" width="15" style="260" customWidth="1"/>
    <col min="3590" max="3590" width="6.7109375" style="260" customWidth="1"/>
    <col min="3591" max="3591" width="22" style="260" customWidth="1"/>
    <col min="3592" max="3592" width="7.42578125" style="260" customWidth="1"/>
    <col min="3593" max="3840" width="9.140625" style="260"/>
    <col min="3841" max="3841" width="38.42578125" style="260" customWidth="1"/>
    <col min="3842" max="3843" width="8.42578125" style="260" customWidth="1"/>
    <col min="3844" max="3844" width="1.5703125" style="260" customWidth="1"/>
    <col min="3845" max="3845" width="15" style="260" customWidth="1"/>
    <col min="3846" max="3846" width="6.7109375" style="260" customWidth="1"/>
    <col min="3847" max="3847" width="22" style="260" customWidth="1"/>
    <col min="3848" max="3848" width="7.42578125" style="260" customWidth="1"/>
    <col min="3849" max="4096" width="9.140625" style="260"/>
    <col min="4097" max="4097" width="38.42578125" style="260" customWidth="1"/>
    <col min="4098" max="4099" width="8.42578125" style="260" customWidth="1"/>
    <col min="4100" max="4100" width="1.5703125" style="260" customWidth="1"/>
    <col min="4101" max="4101" width="15" style="260" customWidth="1"/>
    <col min="4102" max="4102" width="6.7109375" style="260" customWidth="1"/>
    <col min="4103" max="4103" width="22" style="260" customWidth="1"/>
    <col min="4104" max="4104" width="7.42578125" style="260" customWidth="1"/>
    <col min="4105" max="4352" width="9.140625" style="260"/>
    <col min="4353" max="4353" width="38.42578125" style="260" customWidth="1"/>
    <col min="4354" max="4355" width="8.42578125" style="260" customWidth="1"/>
    <col min="4356" max="4356" width="1.5703125" style="260" customWidth="1"/>
    <col min="4357" max="4357" width="15" style="260" customWidth="1"/>
    <col min="4358" max="4358" width="6.7109375" style="260" customWidth="1"/>
    <col min="4359" max="4359" width="22" style="260" customWidth="1"/>
    <col min="4360" max="4360" width="7.42578125" style="260" customWidth="1"/>
    <col min="4361" max="4608" width="9.140625" style="260"/>
    <col min="4609" max="4609" width="38.42578125" style="260" customWidth="1"/>
    <col min="4610" max="4611" width="8.42578125" style="260" customWidth="1"/>
    <col min="4612" max="4612" width="1.5703125" style="260" customWidth="1"/>
    <col min="4613" max="4613" width="15" style="260" customWidth="1"/>
    <col min="4614" max="4614" width="6.7109375" style="260" customWidth="1"/>
    <col min="4615" max="4615" width="22" style="260" customWidth="1"/>
    <col min="4616" max="4616" width="7.42578125" style="260" customWidth="1"/>
    <col min="4617" max="4864" width="9.140625" style="260"/>
    <col min="4865" max="4865" width="38.42578125" style="260" customWidth="1"/>
    <col min="4866" max="4867" width="8.42578125" style="260" customWidth="1"/>
    <col min="4868" max="4868" width="1.5703125" style="260" customWidth="1"/>
    <col min="4869" max="4869" width="15" style="260" customWidth="1"/>
    <col min="4870" max="4870" width="6.7109375" style="260" customWidth="1"/>
    <col min="4871" max="4871" width="22" style="260" customWidth="1"/>
    <col min="4872" max="4872" width="7.42578125" style="260" customWidth="1"/>
    <col min="4873" max="5120" width="9.140625" style="260"/>
    <col min="5121" max="5121" width="38.42578125" style="260" customWidth="1"/>
    <col min="5122" max="5123" width="8.42578125" style="260" customWidth="1"/>
    <col min="5124" max="5124" width="1.5703125" style="260" customWidth="1"/>
    <col min="5125" max="5125" width="15" style="260" customWidth="1"/>
    <col min="5126" max="5126" width="6.7109375" style="260" customWidth="1"/>
    <col min="5127" max="5127" width="22" style="260" customWidth="1"/>
    <col min="5128" max="5128" width="7.42578125" style="260" customWidth="1"/>
    <col min="5129" max="5376" width="9.140625" style="260"/>
    <col min="5377" max="5377" width="38.42578125" style="260" customWidth="1"/>
    <col min="5378" max="5379" width="8.42578125" style="260" customWidth="1"/>
    <col min="5380" max="5380" width="1.5703125" style="260" customWidth="1"/>
    <col min="5381" max="5381" width="15" style="260" customWidth="1"/>
    <col min="5382" max="5382" width="6.7109375" style="260" customWidth="1"/>
    <col min="5383" max="5383" width="22" style="260" customWidth="1"/>
    <col min="5384" max="5384" width="7.42578125" style="260" customWidth="1"/>
    <col min="5385" max="5632" width="9.140625" style="260"/>
    <col min="5633" max="5633" width="38.42578125" style="260" customWidth="1"/>
    <col min="5634" max="5635" width="8.42578125" style="260" customWidth="1"/>
    <col min="5636" max="5636" width="1.5703125" style="260" customWidth="1"/>
    <col min="5637" max="5637" width="15" style="260" customWidth="1"/>
    <col min="5638" max="5638" width="6.7109375" style="260" customWidth="1"/>
    <col min="5639" max="5639" width="22" style="260" customWidth="1"/>
    <col min="5640" max="5640" width="7.42578125" style="260" customWidth="1"/>
    <col min="5641" max="5888" width="9.140625" style="260"/>
    <col min="5889" max="5889" width="38.42578125" style="260" customWidth="1"/>
    <col min="5890" max="5891" width="8.42578125" style="260" customWidth="1"/>
    <col min="5892" max="5892" width="1.5703125" style="260" customWidth="1"/>
    <col min="5893" max="5893" width="15" style="260" customWidth="1"/>
    <col min="5894" max="5894" width="6.7109375" style="260" customWidth="1"/>
    <col min="5895" max="5895" width="22" style="260" customWidth="1"/>
    <col min="5896" max="5896" width="7.42578125" style="260" customWidth="1"/>
    <col min="5897" max="6144" width="9.140625" style="260"/>
    <col min="6145" max="6145" width="38.42578125" style="260" customWidth="1"/>
    <col min="6146" max="6147" width="8.42578125" style="260" customWidth="1"/>
    <col min="6148" max="6148" width="1.5703125" style="260" customWidth="1"/>
    <col min="6149" max="6149" width="15" style="260" customWidth="1"/>
    <col min="6150" max="6150" width="6.7109375" style="260" customWidth="1"/>
    <col min="6151" max="6151" width="22" style="260" customWidth="1"/>
    <col min="6152" max="6152" width="7.42578125" style="260" customWidth="1"/>
    <col min="6153" max="6400" width="9.140625" style="260"/>
    <col min="6401" max="6401" width="38.42578125" style="260" customWidth="1"/>
    <col min="6402" max="6403" width="8.42578125" style="260" customWidth="1"/>
    <col min="6404" max="6404" width="1.5703125" style="260" customWidth="1"/>
    <col min="6405" max="6405" width="15" style="260" customWidth="1"/>
    <col min="6406" max="6406" width="6.7109375" style="260" customWidth="1"/>
    <col min="6407" max="6407" width="22" style="260" customWidth="1"/>
    <col min="6408" max="6408" width="7.42578125" style="260" customWidth="1"/>
    <col min="6409" max="6656" width="9.140625" style="260"/>
    <col min="6657" max="6657" width="38.42578125" style="260" customWidth="1"/>
    <col min="6658" max="6659" width="8.42578125" style="260" customWidth="1"/>
    <col min="6660" max="6660" width="1.5703125" style="260" customWidth="1"/>
    <col min="6661" max="6661" width="15" style="260" customWidth="1"/>
    <col min="6662" max="6662" width="6.7109375" style="260" customWidth="1"/>
    <col min="6663" max="6663" width="22" style="260" customWidth="1"/>
    <col min="6664" max="6664" width="7.42578125" style="260" customWidth="1"/>
    <col min="6665" max="6912" width="9.140625" style="260"/>
    <col min="6913" max="6913" width="38.42578125" style="260" customWidth="1"/>
    <col min="6914" max="6915" width="8.42578125" style="260" customWidth="1"/>
    <col min="6916" max="6916" width="1.5703125" style="260" customWidth="1"/>
    <col min="6917" max="6917" width="15" style="260" customWidth="1"/>
    <col min="6918" max="6918" width="6.7109375" style="260" customWidth="1"/>
    <col min="6919" max="6919" width="22" style="260" customWidth="1"/>
    <col min="6920" max="6920" width="7.42578125" style="260" customWidth="1"/>
    <col min="6921" max="7168" width="9.140625" style="260"/>
    <col min="7169" max="7169" width="38.42578125" style="260" customWidth="1"/>
    <col min="7170" max="7171" width="8.42578125" style="260" customWidth="1"/>
    <col min="7172" max="7172" width="1.5703125" style="260" customWidth="1"/>
    <col min="7173" max="7173" width="15" style="260" customWidth="1"/>
    <col min="7174" max="7174" width="6.7109375" style="260" customWidth="1"/>
    <col min="7175" max="7175" width="22" style="260" customWidth="1"/>
    <col min="7176" max="7176" width="7.42578125" style="260" customWidth="1"/>
    <col min="7177" max="7424" width="9.140625" style="260"/>
    <col min="7425" max="7425" width="38.42578125" style="260" customWidth="1"/>
    <col min="7426" max="7427" width="8.42578125" style="260" customWidth="1"/>
    <col min="7428" max="7428" width="1.5703125" style="260" customWidth="1"/>
    <col min="7429" max="7429" width="15" style="260" customWidth="1"/>
    <col min="7430" max="7430" width="6.7109375" style="260" customWidth="1"/>
    <col min="7431" max="7431" width="22" style="260" customWidth="1"/>
    <col min="7432" max="7432" width="7.42578125" style="260" customWidth="1"/>
    <col min="7433" max="7680" width="9.140625" style="260"/>
    <col min="7681" max="7681" width="38.42578125" style="260" customWidth="1"/>
    <col min="7682" max="7683" width="8.42578125" style="260" customWidth="1"/>
    <col min="7684" max="7684" width="1.5703125" style="260" customWidth="1"/>
    <col min="7685" max="7685" width="15" style="260" customWidth="1"/>
    <col min="7686" max="7686" width="6.7109375" style="260" customWidth="1"/>
    <col min="7687" max="7687" width="22" style="260" customWidth="1"/>
    <col min="7688" max="7688" width="7.42578125" style="260" customWidth="1"/>
    <col min="7689" max="7936" width="9.140625" style="260"/>
    <col min="7937" max="7937" width="38.42578125" style="260" customWidth="1"/>
    <col min="7938" max="7939" width="8.42578125" style="260" customWidth="1"/>
    <col min="7940" max="7940" width="1.5703125" style="260" customWidth="1"/>
    <col min="7941" max="7941" width="15" style="260" customWidth="1"/>
    <col min="7942" max="7942" width="6.7109375" style="260" customWidth="1"/>
    <col min="7943" max="7943" width="22" style="260" customWidth="1"/>
    <col min="7944" max="7944" width="7.42578125" style="260" customWidth="1"/>
    <col min="7945" max="8192" width="9.140625" style="260"/>
    <col min="8193" max="8193" width="38.42578125" style="260" customWidth="1"/>
    <col min="8194" max="8195" width="8.42578125" style="260" customWidth="1"/>
    <col min="8196" max="8196" width="1.5703125" style="260" customWidth="1"/>
    <col min="8197" max="8197" width="15" style="260" customWidth="1"/>
    <col min="8198" max="8198" width="6.7109375" style="260" customWidth="1"/>
    <col min="8199" max="8199" width="22" style="260" customWidth="1"/>
    <col min="8200" max="8200" width="7.42578125" style="260" customWidth="1"/>
    <col min="8201" max="8448" width="9.140625" style="260"/>
    <col min="8449" max="8449" width="38.42578125" style="260" customWidth="1"/>
    <col min="8450" max="8451" width="8.42578125" style="260" customWidth="1"/>
    <col min="8452" max="8452" width="1.5703125" style="260" customWidth="1"/>
    <col min="8453" max="8453" width="15" style="260" customWidth="1"/>
    <col min="8454" max="8454" width="6.7109375" style="260" customWidth="1"/>
    <col min="8455" max="8455" width="22" style="260" customWidth="1"/>
    <col min="8456" max="8456" width="7.42578125" style="260" customWidth="1"/>
    <col min="8457" max="8704" width="9.140625" style="260"/>
    <col min="8705" max="8705" width="38.42578125" style="260" customWidth="1"/>
    <col min="8706" max="8707" width="8.42578125" style="260" customWidth="1"/>
    <col min="8708" max="8708" width="1.5703125" style="260" customWidth="1"/>
    <col min="8709" max="8709" width="15" style="260" customWidth="1"/>
    <col min="8710" max="8710" width="6.7109375" style="260" customWidth="1"/>
    <col min="8711" max="8711" width="22" style="260" customWidth="1"/>
    <col min="8712" max="8712" width="7.42578125" style="260" customWidth="1"/>
    <col min="8713" max="8960" width="9.140625" style="260"/>
    <col min="8961" max="8961" width="38.42578125" style="260" customWidth="1"/>
    <col min="8962" max="8963" width="8.42578125" style="260" customWidth="1"/>
    <col min="8964" max="8964" width="1.5703125" style="260" customWidth="1"/>
    <col min="8965" max="8965" width="15" style="260" customWidth="1"/>
    <col min="8966" max="8966" width="6.7109375" style="260" customWidth="1"/>
    <col min="8967" max="8967" width="22" style="260" customWidth="1"/>
    <col min="8968" max="8968" width="7.42578125" style="260" customWidth="1"/>
    <col min="8969" max="9216" width="9.140625" style="260"/>
    <col min="9217" max="9217" width="38.42578125" style="260" customWidth="1"/>
    <col min="9218" max="9219" width="8.42578125" style="260" customWidth="1"/>
    <col min="9220" max="9220" width="1.5703125" style="260" customWidth="1"/>
    <col min="9221" max="9221" width="15" style="260" customWidth="1"/>
    <col min="9222" max="9222" width="6.7109375" style="260" customWidth="1"/>
    <col min="9223" max="9223" width="22" style="260" customWidth="1"/>
    <col min="9224" max="9224" width="7.42578125" style="260" customWidth="1"/>
    <col min="9225" max="9472" width="9.140625" style="260"/>
    <col min="9473" max="9473" width="38.42578125" style="260" customWidth="1"/>
    <col min="9474" max="9475" width="8.42578125" style="260" customWidth="1"/>
    <col min="9476" max="9476" width="1.5703125" style="260" customWidth="1"/>
    <col min="9477" max="9477" width="15" style="260" customWidth="1"/>
    <col min="9478" max="9478" width="6.7109375" style="260" customWidth="1"/>
    <col min="9479" max="9479" width="22" style="260" customWidth="1"/>
    <col min="9480" max="9480" width="7.42578125" style="260" customWidth="1"/>
    <col min="9481" max="9728" width="9.140625" style="260"/>
    <col min="9729" max="9729" width="38.42578125" style="260" customWidth="1"/>
    <col min="9730" max="9731" width="8.42578125" style="260" customWidth="1"/>
    <col min="9732" max="9732" width="1.5703125" style="260" customWidth="1"/>
    <col min="9733" max="9733" width="15" style="260" customWidth="1"/>
    <col min="9734" max="9734" width="6.7109375" style="260" customWidth="1"/>
    <col min="9735" max="9735" width="22" style="260" customWidth="1"/>
    <col min="9736" max="9736" width="7.42578125" style="260" customWidth="1"/>
    <col min="9737" max="9984" width="9.140625" style="260"/>
    <col min="9985" max="9985" width="38.42578125" style="260" customWidth="1"/>
    <col min="9986" max="9987" width="8.42578125" style="260" customWidth="1"/>
    <col min="9988" max="9988" width="1.5703125" style="260" customWidth="1"/>
    <col min="9989" max="9989" width="15" style="260" customWidth="1"/>
    <col min="9990" max="9990" width="6.7109375" style="260" customWidth="1"/>
    <col min="9991" max="9991" width="22" style="260" customWidth="1"/>
    <col min="9992" max="9992" width="7.42578125" style="260" customWidth="1"/>
    <col min="9993" max="10240" width="9.140625" style="260"/>
    <col min="10241" max="10241" width="38.42578125" style="260" customWidth="1"/>
    <col min="10242" max="10243" width="8.42578125" style="260" customWidth="1"/>
    <col min="10244" max="10244" width="1.5703125" style="260" customWidth="1"/>
    <col min="10245" max="10245" width="15" style="260" customWidth="1"/>
    <col min="10246" max="10246" width="6.7109375" style="260" customWidth="1"/>
    <col min="10247" max="10247" width="22" style="260" customWidth="1"/>
    <col min="10248" max="10248" width="7.42578125" style="260" customWidth="1"/>
    <col min="10249" max="10496" width="9.140625" style="260"/>
    <col min="10497" max="10497" width="38.42578125" style="260" customWidth="1"/>
    <col min="10498" max="10499" width="8.42578125" style="260" customWidth="1"/>
    <col min="10500" max="10500" width="1.5703125" style="260" customWidth="1"/>
    <col min="10501" max="10501" width="15" style="260" customWidth="1"/>
    <col min="10502" max="10502" width="6.7109375" style="260" customWidth="1"/>
    <col min="10503" max="10503" width="22" style="260" customWidth="1"/>
    <col min="10504" max="10504" width="7.42578125" style="260" customWidth="1"/>
    <col min="10505" max="10752" width="9.140625" style="260"/>
    <col min="10753" max="10753" width="38.42578125" style="260" customWidth="1"/>
    <col min="10754" max="10755" width="8.42578125" style="260" customWidth="1"/>
    <col min="10756" max="10756" width="1.5703125" style="260" customWidth="1"/>
    <col min="10757" max="10757" width="15" style="260" customWidth="1"/>
    <col min="10758" max="10758" width="6.7109375" style="260" customWidth="1"/>
    <col min="10759" max="10759" width="22" style="260" customWidth="1"/>
    <col min="10760" max="10760" width="7.42578125" style="260" customWidth="1"/>
    <col min="10761" max="11008" width="9.140625" style="260"/>
    <col min="11009" max="11009" width="38.42578125" style="260" customWidth="1"/>
    <col min="11010" max="11011" width="8.42578125" style="260" customWidth="1"/>
    <col min="11012" max="11012" width="1.5703125" style="260" customWidth="1"/>
    <col min="11013" max="11013" width="15" style="260" customWidth="1"/>
    <col min="11014" max="11014" width="6.7109375" style="260" customWidth="1"/>
    <col min="11015" max="11015" width="22" style="260" customWidth="1"/>
    <col min="11016" max="11016" width="7.42578125" style="260" customWidth="1"/>
    <col min="11017" max="11264" width="9.140625" style="260"/>
    <col min="11265" max="11265" width="38.42578125" style="260" customWidth="1"/>
    <col min="11266" max="11267" width="8.42578125" style="260" customWidth="1"/>
    <col min="11268" max="11268" width="1.5703125" style="260" customWidth="1"/>
    <col min="11269" max="11269" width="15" style="260" customWidth="1"/>
    <col min="11270" max="11270" width="6.7109375" style="260" customWidth="1"/>
    <col min="11271" max="11271" width="22" style="260" customWidth="1"/>
    <col min="11272" max="11272" width="7.42578125" style="260" customWidth="1"/>
    <col min="11273" max="11520" width="9.140625" style="260"/>
    <col min="11521" max="11521" width="38.42578125" style="260" customWidth="1"/>
    <col min="11522" max="11523" width="8.42578125" style="260" customWidth="1"/>
    <col min="11524" max="11524" width="1.5703125" style="260" customWidth="1"/>
    <col min="11525" max="11525" width="15" style="260" customWidth="1"/>
    <col min="11526" max="11526" width="6.7109375" style="260" customWidth="1"/>
    <col min="11527" max="11527" width="22" style="260" customWidth="1"/>
    <col min="11528" max="11528" width="7.42578125" style="260" customWidth="1"/>
    <col min="11529" max="11776" width="9.140625" style="260"/>
    <col min="11777" max="11777" width="38.42578125" style="260" customWidth="1"/>
    <col min="11778" max="11779" width="8.42578125" style="260" customWidth="1"/>
    <col min="11780" max="11780" width="1.5703125" style="260" customWidth="1"/>
    <col min="11781" max="11781" width="15" style="260" customWidth="1"/>
    <col min="11782" max="11782" width="6.7109375" style="260" customWidth="1"/>
    <col min="11783" max="11783" width="22" style="260" customWidth="1"/>
    <col min="11784" max="11784" width="7.42578125" style="260" customWidth="1"/>
    <col min="11785" max="12032" width="9.140625" style="260"/>
    <col min="12033" max="12033" width="38.42578125" style="260" customWidth="1"/>
    <col min="12034" max="12035" width="8.42578125" style="260" customWidth="1"/>
    <col min="12036" max="12036" width="1.5703125" style="260" customWidth="1"/>
    <col min="12037" max="12037" width="15" style="260" customWidth="1"/>
    <col min="12038" max="12038" width="6.7109375" style="260" customWidth="1"/>
    <col min="12039" max="12039" width="22" style="260" customWidth="1"/>
    <col min="12040" max="12040" width="7.42578125" style="260" customWidth="1"/>
    <col min="12041" max="12288" width="9.140625" style="260"/>
    <col min="12289" max="12289" width="38.42578125" style="260" customWidth="1"/>
    <col min="12290" max="12291" width="8.42578125" style="260" customWidth="1"/>
    <col min="12292" max="12292" width="1.5703125" style="260" customWidth="1"/>
    <col min="12293" max="12293" width="15" style="260" customWidth="1"/>
    <col min="12294" max="12294" width="6.7109375" style="260" customWidth="1"/>
    <col min="12295" max="12295" width="22" style="260" customWidth="1"/>
    <col min="12296" max="12296" width="7.42578125" style="260" customWidth="1"/>
    <col min="12297" max="12544" width="9.140625" style="260"/>
    <col min="12545" max="12545" width="38.42578125" style="260" customWidth="1"/>
    <col min="12546" max="12547" width="8.42578125" style="260" customWidth="1"/>
    <col min="12548" max="12548" width="1.5703125" style="260" customWidth="1"/>
    <col min="12549" max="12549" width="15" style="260" customWidth="1"/>
    <col min="12550" max="12550" width="6.7109375" style="260" customWidth="1"/>
    <col min="12551" max="12551" width="22" style="260" customWidth="1"/>
    <col min="12552" max="12552" width="7.42578125" style="260" customWidth="1"/>
    <col min="12553" max="12800" width="9.140625" style="260"/>
    <col min="12801" max="12801" width="38.42578125" style="260" customWidth="1"/>
    <col min="12802" max="12803" width="8.42578125" style="260" customWidth="1"/>
    <col min="12804" max="12804" width="1.5703125" style="260" customWidth="1"/>
    <col min="12805" max="12805" width="15" style="260" customWidth="1"/>
    <col min="12806" max="12806" width="6.7109375" style="260" customWidth="1"/>
    <col min="12807" max="12807" width="22" style="260" customWidth="1"/>
    <col min="12808" max="12808" width="7.42578125" style="260" customWidth="1"/>
    <col min="12809" max="13056" width="9.140625" style="260"/>
    <col min="13057" max="13057" width="38.42578125" style="260" customWidth="1"/>
    <col min="13058" max="13059" width="8.42578125" style="260" customWidth="1"/>
    <col min="13060" max="13060" width="1.5703125" style="260" customWidth="1"/>
    <col min="13061" max="13061" width="15" style="260" customWidth="1"/>
    <col min="13062" max="13062" width="6.7109375" style="260" customWidth="1"/>
    <col min="13063" max="13063" width="22" style="260" customWidth="1"/>
    <col min="13064" max="13064" width="7.42578125" style="260" customWidth="1"/>
    <col min="13065" max="13312" width="9.140625" style="260"/>
    <col min="13313" max="13313" width="38.42578125" style="260" customWidth="1"/>
    <col min="13314" max="13315" width="8.42578125" style="260" customWidth="1"/>
    <col min="13316" max="13316" width="1.5703125" style="260" customWidth="1"/>
    <col min="13317" max="13317" width="15" style="260" customWidth="1"/>
    <col min="13318" max="13318" width="6.7109375" style="260" customWidth="1"/>
    <col min="13319" max="13319" width="22" style="260" customWidth="1"/>
    <col min="13320" max="13320" width="7.42578125" style="260" customWidth="1"/>
    <col min="13321" max="13568" width="9.140625" style="260"/>
    <col min="13569" max="13569" width="38.42578125" style="260" customWidth="1"/>
    <col min="13570" max="13571" width="8.42578125" style="260" customWidth="1"/>
    <col min="13572" max="13572" width="1.5703125" style="260" customWidth="1"/>
    <col min="13573" max="13573" width="15" style="260" customWidth="1"/>
    <col min="13574" max="13574" width="6.7109375" style="260" customWidth="1"/>
    <col min="13575" max="13575" width="22" style="260" customWidth="1"/>
    <col min="13576" max="13576" width="7.42578125" style="260" customWidth="1"/>
    <col min="13577" max="13824" width="9.140625" style="260"/>
    <col min="13825" max="13825" width="38.42578125" style="260" customWidth="1"/>
    <col min="13826" max="13827" width="8.42578125" style="260" customWidth="1"/>
    <col min="13828" max="13828" width="1.5703125" style="260" customWidth="1"/>
    <col min="13829" max="13829" width="15" style="260" customWidth="1"/>
    <col min="13830" max="13830" width="6.7109375" style="260" customWidth="1"/>
    <col min="13831" max="13831" width="22" style="260" customWidth="1"/>
    <col min="13832" max="13832" width="7.42578125" style="260" customWidth="1"/>
    <col min="13833" max="14080" width="9.140625" style="260"/>
    <col min="14081" max="14081" width="38.42578125" style="260" customWidth="1"/>
    <col min="14082" max="14083" width="8.42578125" style="260" customWidth="1"/>
    <col min="14084" max="14084" width="1.5703125" style="260" customWidth="1"/>
    <col min="14085" max="14085" width="15" style="260" customWidth="1"/>
    <col min="14086" max="14086" width="6.7109375" style="260" customWidth="1"/>
    <col min="14087" max="14087" width="22" style="260" customWidth="1"/>
    <col min="14088" max="14088" width="7.42578125" style="260" customWidth="1"/>
    <col min="14089" max="14336" width="9.140625" style="260"/>
    <col min="14337" max="14337" width="38.42578125" style="260" customWidth="1"/>
    <col min="14338" max="14339" width="8.42578125" style="260" customWidth="1"/>
    <col min="14340" max="14340" width="1.5703125" style="260" customWidth="1"/>
    <col min="14341" max="14341" width="15" style="260" customWidth="1"/>
    <col min="14342" max="14342" width="6.7109375" style="260" customWidth="1"/>
    <col min="14343" max="14343" width="22" style="260" customWidth="1"/>
    <col min="14344" max="14344" width="7.42578125" style="260" customWidth="1"/>
    <col min="14345" max="14592" width="9.140625" style="260"/>
    <col min="14593" max="14593" width="38.42578125" style="260" customWidth="1"/>
    <col min="14594" max="14595" width="8.42578125" style="260" customWidth="1"/>
    <col min="14596" max="14596" width="1.5703125" style="260" customWidth="1"/>
    <col min="14597" max="14597" width="15" style="260" customWidth="1"/>
    <col min="14598" max="14598" width="6.7109375" style="260" customWidth="1"/>
    <col min="14599" max="14599" width="22" style="260" customWidth="1"/>
    <col min="14600" max="14600" width="7.42578125" style="260" customWidth="1"/>
    <col min="14601" max="14848" width="9.140625" style="260"/>
    <col min="14849" max="14849" width="38.42578125" style="260" customWidth="1"/>
    <col min="14850" max="14851" width="8.42578125" style="260" customWidth="1"/>
    <col min="14852" max="14852" width="1.5703125" style="260" customWidth="1"/>
    <col min="14853" max="14853" width="15" style="260" customWidth="1"/>
    <col min="14854" max="14854" width="6.7109375" style="260" customWidth="1"/>
    <col min="14855" max="14855" width="22" style="260" customWidth="1"/>
    <col min="14856" max="14856" width="7.42578125" style="260" customWidth="1"/>
    <col min="14857" max="15104" width="9.140625" style="260"/>
    <col min="15105" max="15105" width="38.42578125" style="260" customWidth="1"/>
    <col min="15106" max="15107" width="8.42578125" style="260" customWidth="1"/>
    <col min="15108" max="15108" width="1.5703125" style="260" customWidth="1"/>
    <col min="15109" max="15109" width="15" style="260" customWidth="1"/>
    <col min="15110" max="15110" width="6.7109375" style="260" customWidth="1"/>
    <col min="15111" max="15111" width="22" style="260" customWidth="1"/>
    <col min="15112" max="15112" width="7.42578125" style="260" customWidth="1"/>
    <col min="15113" max="15360" width="9.140625" style="260"/>
    <col min="15361" max="15361" width="38.42578125" style="260" customWidth="1"/>
    <col min="15362" max="15363" width="8.42578125" style="260" customWidth="1"/>
    <col min="15364" max="15364" width="1.5703125" style="260" customWidth="1"/>
    <col min="15365" max="15365" width="15" style="260" customWidth="1"/>
    <col min="15366" max="15366" width="6.7109375" style="260" customWidth="1"/>
    <col min="15367" max="15367" width="22" style="260" customWidth="1"/>
    <col min="15368" max="15368" width="7.42578125" style="260" customWidth="1"/>
    <col min="15369" max="15616" width="9.140625" style="260"/>
    <col min="15617" max="15617" width="38.42578125" style="260" customWidth="1"/>
    <col min="15618" max="15619" width="8.42578125" style="260" customWidth="1"/>
    <col min="15620" max="15620" width="1.5703125" style="260" customWidth="1"/>
    <col min="15621" max="15621" width="15" style="260" customWidth="1"/>
    <col min="15622" max="15622" width="6.7109375" style="260" customWidth="1"/>
    <col min="15623" max="15623" width="22" style="260" customWidth="1"/>
    <col min="15624" max="15624" width="7.42578125" style="260" customWidth="1"/>
    <col min="15625" max="15872" width="9.140625" style="260"/>
    <col min="15873" max="15873" width="38.42578125" style="260" customWidth="1"/>
    <col min="15874" max="15875" width="8.42578125" style="260" customWidth="1"/>
    <col min="15876" max="15876" width="1.5703125" style="260" customWidth="1"/>
    <col min="15877" max="15877" width="15" style="260" customWidth="1"/>
    <col min="15878" max="15878" width="6.7109375" style="260" customWidth="1"/>
    <col min="15879" max="15879" width="22" style="260" customWidth="1"/>
    <col min="15880" max="15880" width="7.42578125" style="260" customWidth="1"/>
    <col min="15881" max="16128" width="9.140625" style="260"/>
    <col min="16129" max="16129" width="38.42578125" style="260" customWidth="1"/>
    <col min="16130" max="16131" width="8.42578125" style="260" customWidth="1"/>
    <col min="16132" max="16132" width="1.5703125" style="260" customWidth="1"/>
    <col min="16133" max="16133" width="15" style="260" customWidth="1"/>
    <col min="16134" max="16134" width="6.7109375" style="260" customWidth="1"/>
    <col min="16135" max="16135" width="22" style="260" customWidth="1"/>
    <col min="16136" max="16136" width="7.42578125" style="260" customWidth="1"/>
    <col min="16137" max="16384" width="9.140625" style="260"/>
  </cols>
  <sheetData>
    <row r="1" spans="1:13">
      <c r="A1" s="261" t="s">
        <v>2444</v>
      </c>
    </row>
    <row r="2" spans="1:13">
      <c r="A2" s="262"/>
    </row>
    <row r="3" spans="1:13" ht="13.15" customHeight="1">
      <c r="A3" s="404" t="s">
        <v>2445</v>
      </c>
      <c r="B3" s="404" t="s">
        <v>2446</v>
      </c>
      <c r="C3" s="404"/>
    </row>
    <row r="4" spans="1:13" ht="76.5">
      <c r="A4" s="404"/>
      <c r="B4" s="263" t="s">
        <v>2447</v>
      </c>
      <c r="C4" s="263" t="s">
        <v>2448</v>
      </c>
      <c r="E4" s="264"/>
    </row>
    <row r="5" spans="1:13">
      <c r="A5" s="265" t="s">
        <v>2449</v>
      </c>
      <c r="B5" s="266">
        <v>20.34</v>
      </c>
      <c r="C5" s="266">
        <v>34.53</v>
      </c>
    </row>
    <row r="6" spans="1:13">
      <c r="A6" s="265" t="s">
        <v>2450</v>
      </c>
      <c r="B6" s="266">
        <v>11.1</v>
      </c>
      <c r="C6" s="266">
        <v>16.8</v>
      </c>
    </row>
    <row r="7" spans="1:13">
      <c r="A7" s="265" t="s">
        <v>2451</v>
      </c>
      <c r="B7" s="266">
        <v>22.8</v>
      </c>
      <c r="C7" s="266">
        <v>30.95</v>
      </c>
    </row>
    <row r="8" spans="1:13">
      <c r="A8" s="265" t="s">
        <v>2452</v>
      </c>
      <c r="B8" s="266">
        <v>20.76</v>
      </c>
      <c r="C8" s="266">
        <v>26.44</v>
      </c>
    </row>
    <row r="9" spans="1:13">
      <c r="A9" s="267" t="s">
        <v>2453</v>
      </c>
      <c r="B9" s="266">
        <v>19.600000000000001</v>
      </c>
      <c r="C9" s="266">
        <v>24.23</v>
      </c>
    </row>
    <row r="10" spans="1:13" ht="13.15" customHeight="1">
      <c r="A10" s="404" t="s">
        <v>2454</v>
      </c>
      <c r="B10" s="405" t="s">
        <v>2455</v>
      </c>
      <c r="C10" s="405"/>
    </row>
    <row r="11" spans="1:13">
      <c r="A11" s="404"/>
      <c r="B11" s="263" t="s">
        <v>2456</v>
      </c>
      <c r="C11" s="263" t="s">
        <v>2448</v>
      </c>
    </row>
    <row r="12" spans="1:13">
      <c r="A12" s="265" t="str">
        <f>'[1]Detalhamento do BDI'!B13</f>
        <v>Edificações</v>
      </c>
      <c r="B12" s="266">
        <f>LOOKUP(A12,A5:A9,B5:B9)</f>
        <v>20.34</v>
      </c>
      <c r="C12" s="266">
        <f>LOOKUP(A12,A5:A9,C5:C9)</f>
        <v>34.53</v>
      </c>
    </row>
    <row r="14" spans="1:13" ht="13.15" customHeight="1">
      <c r="A14" s="404" t="s">
        <v>2457</v>
      </c>
      <c r="B14" s="404"/>
      <c r="M14" s="268"/>
    </row>
    <row r="15" spans="1:13">
      <c r="A15" s="269" t="str">
        <f>'[1]Detalhamento do BDI'!B9</f>
        <v>Sem Desoneração</v>
      </c>
      <c r="B15" s="270">
        <f>'[1]Detalhamento do BDI'!C34*100</f>
        <v>31.96</v>
      </c>
      <c r="M15" s="268"/>
    </row>
    <row r="16" spans="1:13">
      <c r="A16" s="271" t="s">
        <v>2458</v>
      </c>
      <c r="B16" s="270">
        <f>ROUND((((1+('[1]Detalhamento do BDI'!$C$17/100)+('[1]Detalhamento do BDI'!$C$19/100)+('[1]Detalhamento do BDI'!$C$18/100))*(1+('[1]Detalhamento do BDI'!$C$20/100))*(1+('[1]Detalhamento do BDI'!$C$22/100)))/(1-('[1]Detalhamento do BDI'!$C$26-'[1]Detalhamento do BDI'!$C$30)/100)-1)*100,2)</f>
        <v>33.25</v>
      </c>
    </row>
    <row r="17" spans="1:2">
      <c r="A17" s="403" t="str">
        <f>IF(B16&lt;B12,"Não Atende o Limite Inferior",IF(B16&gt;C12,"Não Atende o Limite Superior","Atende"))</f>
        <v>Atende</v>
      </c>
      <c r="B17" s="403"/>
    </row>
  </sheetData>
  <mergeCells count="6">
    <mergeCell ref="A17:B17"/>
    <mergeCell ref="A3:A4"/>
    <mergeCell ref="B3:C3"/>
    <mergeCell ref="A10:A11"/>
    <mergeCell ref="B10:C10"/>
    <mergeCell ref="A14:B14"/>
  </mergeCells>
  <conditionalFormatting sqref="A17">
    <cfRule type="cellIs" dxfId="1" priority="2" operator="equal">
      <formula>"Atende"</formula>
    </cfRule>
  </conditionalFormatting>
  <conditionalFormatting sqref="A5:C9">
    <cfRule type="cellIs" dxfId="0" priority="3" operator="equal">
      <formula>#REF!</formula>
    </cfRule>
  </conditionalFormatting>
  <pageMargins left="0.78749999999999998" right="0.78749999999999998" top="0.98402777777777795" bottom="0.98402777777777795" header="0.511811023622047" footer="0.511811023622047"/>
  <pageSetup orientation="portrait" horizontalDpi="300" verticalDpi="3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K12"/>
  <sheetViews>
    <sheetView view="pageBreakPreview" zoomScaleNormal="100" workbookViewId="0">
      <selection activeCell="G10" sqref="G10"/>
    </sheetView>
  </sheetViews>
  <sheetFormatPr defaultColWidth="8.5703125" defaultRowHeight="15"/>
  <cols>
    <col min="1" max="1" width="29" customWidth="1"/>
    <col min="2" max="2" width="16.28515625" customWidth="1"/>
    <col min="3" max="3" width="14.28515625" customWidth="1"/>
    <col min="4" max="4" width="20" customWidth="1"/>
    <col min="5" max="5" width="15.28515625" customWidth="1"/>
  </cols>
  <sheetData>
    <row r="1" spans="1:11" ht="21">
      <c r="A1" s="406" t="s">
        <v>2459</v>
      </c>
      <c r="B1" s="406"/>
      <c r="C1" s="406"/>
      <c r="D1" s="406"/>
      <c r="E1" s="406"/>
      <c r="F1" s="388" t="s">
        <v>2460</v>
      </c>
      <c r="G1" s="388"/>
      <c r="H1" s="388"/>
      <c r="I1" s="388"/>
      <c r="J1" s="388"/>
      <c r="K1" s="388"/>
    </row>
    <row r="2" spans="1:11" s="15" customFormat="1" ht="46.9" customHeight="1">
      <c r="A2" s="272" t="s">
        <v>2461</v>
      </c>
      <c r="B2" s="273" t="s">
        <v>2462</v>
      </c>
      <c r="C2" s="273" t="s">
        <v>2463</v>
      </c>
      <c r="D2" s="273" t="s">
        <v>2464</v>
      </c>
      <c r="E2" s="273" t="s">
        <v>2465</v>
      </c>
    </row>
    <row r="3" spans="1:11">
      <c r="A3" t="s">
        <v>2466</v>
      </c>
      <c r="B3" s="274">
        <v>5.5899999999999998E-2</v>
      </c>
      <c r="C3" s="274">
        <v>4.0599999999999997E-2</v>
      </c>
      <c r="D3" s="274">
        <v>3.2599999999999997E-2</v>
      </c>
      <c r="E3" s="274">
        <v>3.2199999999999999E-2</v>
      </c>
    </row>
    <row r="4" spans="1:11">
      <c r="A4" t="s">
        <v>2467</v>
      </c>
      <c r="B4" s="274">
        <v>8.5300000000000001E-2</v>
      </c>
      <c r="C4" s="274">
        <v>8.1900000000000001E-2</v>
      </c>
      <c r="D4" s="274">
        <v>7.6300000000000007E-2</v>
      </c>
      <c r="E4" s="274">
        <v>6.5799999999999997E-2</v>
      </c>
    </row>
    <row r="5" spans="1:11">
      <c r="A5" t="s">
        <v>2468</v>
      </c>
      <c r="B5" s="275"/>
      <c r="C5" s="1"/>
      <c r="D5" s="1"/>
      <c r="E5" s="1"/>
    </row>
    <row r="6" spans="1:11">
      <c r="A6" t="s">
        <v>2469</v>
      </c>
      <c r="B6" s="274">
        <v>0.04</v>
      </c>
      <c r="C6" s="274">
        <v>0.04</v>
      </c>
      <c r="D6" s="274">
        <v>0.04</v>
      </c>
      <c r="E6" s="274">
        <v>0.04</v>
      </c>
    </row>
    <row r="7" spans="1:11">
      <c r="A7" t="s">
        <v>2470</v>
      </c>
      <c r="B7" s="274">
        <v>6.4999999999999997E-3</v>
      </c>
      <c r="C7" s="274">
        <v>6.4999999999999997E-3</v>
      </c>
      <c r="D7" s="274">
        <v>6.4999999999999997E-3</v>
      </c>
      <c r="E7" s="274">
        <v>6.4999999999999997E-3</v>
      </c>
    </row>
    <row r="8" spans="1:11">
      <c r="A8" t="s">
        <v>2471</v>
      </c>
      <c r="B8" s="274">
        <v>0.03</v>
      </c>
      <c r="C8" s="274">
        <v>0.03</v>
      </c>
      <c r="D8" s="274">
        <v>0.03</v>
      </c>
      <c r="E8" s="274">
        <v>0.03</v>
      </c>
    </row>
    <row r="9" spans="1:11">
      <c r="A9" t="s">
        <v>2472</v>
      </c>
      <c r="B9" s="274">
        <v>6.1000000000000004E-3</v>
      </c>
      <c r="C9" s="274">
        <v>6.1000000000000004E-3</v>
      </c>
      <c r="D9" s="274">
        <v>6.1000000000000004E-3</v>
      </c>
      <c r="E9" s="274">
        <v>6.1000000000000004E-3</v>
      </c>
    </row>
    <row r="10" spans="1:11">
      <c r="A10" t="s">
        <v>2473</v>
      </c>
      <c r="B10" s="274">
        <v>5.0000000000000001E-3</v>
      </c>
      <c r="C10" s="274">
        <v>0.01</v>
      </c>
      <c r="D10" s="274">
        <v>1.4999999999999999E-2</v>
      </c>
      <c r="E10" s="274">
        <v>0.02</v>
      </c>
    </row>
    <row r="11" spans="1:11">
      <c r="A11" t="s">
        <v>2474</v>
      </c>
      <c r="B11" s="274">
        <v>0.09</v>
      </c>
      <c r="C11" s="274">
        <v>0.08</v>
      </c>
      <c r="D11" s="274">
        <v>7.0000000000000007E-2</v>
      </c>
      <c r="E11" s="274">
        <v>0.06</v>
      </c>
    </row>
    <row r="12" spans="1:11">
      <c r="A12" s="276" t="s">
        <v>1963</v>
      </c>
      <c r="B12" s="274">
        <f>ROUNDUP((((1+(B3+B4+B9+B10+B11)))/(1-(B6+B7+B8)))-1,4)</f>
        <v>0.3453</v>
      </c>
      <c r="C12" s="274">
        <f>ROUNDUP((((1+(C3+C4+C9+C10+C11)))/(1-(C6+C7+C8)))-1,4)</f>
        <v>0.3196</v>
      </c>
      <c r="D12" s="274">
        <f>ROUNDDOWN((((1+(D3+D4+D9+D10+D11)))/(1-(D6+D7+D8)))-1,4)</f>
        <v>0.2994</v>
      </c>
      <c r="E12" s="274">
        <f>ROUNDUP((((1+(E3+E4+E9+E10+E11)))/(1-(E6+E7+E8)))-1,4)</f>
        <v>0.28220000000000001</v>
      </c>
    </row>
  </sheetData>
  <mergeCells count="2">
    <mergeCell ref="A1:E1"/>
    <mergeCell ref="F1:K1"/>
  </mergeCells>
  <pageMargins left="0.51180555555555596" right="0.51180555555555596" top="0.78749999999999998" bottom="0.78749999999999998" header="0.511811023622047" footer="0.511811023622047"/>
  <pageSetup orientation="portrait" horizontalDpi="300" verticalDpi="300"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Planilhas</vt:lpstr>
      </vt:variant>
      <vt:variant>
        <vt:i4>23</vt:i4>
      </vt:variant>
      <vt:variant>
        <vt:lpstr>Intervalos Nomeados</vt:lpstr>
      </vt:variant>
      <vt:variant>
        <vt:i4>2</vt:i4>
      </vt:variant>
    </vt:vector>
  </HeadingPairs>
  <TitlesOfParts>
    <vt:vector size="25" baseType="lpstr">
      <vt:lpstr>PLANILHA ORÇAMENTÁRIA BASE</vt:lpstr>
      <vt:lpstr>Planilha1</vt:lpstr>
      <vt:lpstr>MEMORIAL DE CÁLCULO</vt:lpstr>
      <vt:lpstr>Comp. 01</vt:lpstr>
      <vt:lpstr>Comp. 02</vt:lpstr>
      <vt:lpstr>Comp. 03</vt:lpstr>
      <vt:lpstr>Comp. 04</vt:lpstr>
      <vt:lpstr>Comp. 05</vt:lpstr>
      <vt:lpstr>Comp. 06</vt:lpstr>
      <vt:lpstr>Comp. 07</vt:lpstr>
      <vt:lpstr>Comp. 08</vt:lpstr>
      <vt:lpstr>Comp. 09</vt:lpstr>
      <vt:lpstr>Comp. 10</vt:lpstr>
      <vt:lpstr>Comp. 11</vt:lpstr>
      <vt:lpstr>Comp. 12</vt:lpstr>
      <vt:lpstr>Comp. 13</vt:lpstr>
      <vt:lpstr>Comp. 14</vt:lpstr>
      <vt:lpstr>Comp. 15</vt:lpstr>
      <vt:lpstr>Comp. 16</vt:lpstr>
      <vt:lpstr>Comp. 17</vt:lpstr>
      <vt:lpstr>Comp. 18</vt:lpstr>
      <vt:lpstr>Auxiliar</vt:lpstr>
      <vt:lpstr>BDI-ES</vt:lpstr>
      <vt:lpstr>'MEMORIAL DE CÁLCULO'!Area_de_impressao</vt:lpstr>
      <vt:lpstr>'PLANILHA ORÇAMENTÁRIA BASE'!Area_de_impressao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Adriano</dc:creator>
  <dc:description/>
  <cp:lastModifiedBy>Jackson Araújo Carmo</cp:lastModifiedBy>
  <cp:revision>0</cp:revision>
  <cp:lastPrinted>2026-08-12T19:26:54Z</cp:lastPrinted>
  <dcterms:created xsi:type="dcterms:W3CDTF">2021-03-05T18:57:45Z</dcterms:created>
  <dcterms:modified xsi:type="dcterms:W3CDTF">2026-08-12T20:19:56Z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0x010100C49908BABC2CB144BB6E09244118E6D8</vt:lpwstr>
  </property>
  <property fmtid="{D5CDD505-2E9C-101B-9397-08002B2CF9AE}" pid="3" name="MediaServiceImageTags">
    <vt:lpwstr/>
  </property>
</Properties>
</file>